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4000" windowHeight="16000" firstSheet="0" activeTab="0"/>
  </bookViews>
  <sheets>
    <sheet sheetId="1" name="Cover" state="visible" r:id="rId4"/>
    <sheet sheetId="2" name="Inputs" state="visible" r:id="rId5"/>
    <sheet sheetId="3" name="Bills" state="visible" r:id="rId6"/>
    <sheet sheetId="4" name="Inventory" state="visible" r:id="rId7"/>
    <sheet sheetId="5" name="Balance" state="visible" r:id="rId8"/>
    <sheet sheetId="6" name="Measures" state="visible" r:id="rId9"/>
    <sheet sheetId="7" name="CashFlows" state="visible" r:id="rId10"/>
    <sheet sheetId="8" name="Portfolio" state="visible" r:id="rId11"/>
    <sheet sheetId="9" name="Loan" state="visible" r:id="rId12"/>
    <sheet sheetId="10" name="Sources &amp; methods" state="visible" r:id="rId13"/>
  </sheets>
  <definedNames>
    <definedName name="DiscountRate">Inputs!$B$7</definedName>
    <definedName name="Escalation">Inputs!$B$8</definedName>
    <definedName name="AnalysisPeriod">Inputs!$B$9</definedName>
    <definedName name="CashFlowYears">Inputs!$B$10</definedName>
    <definedName name="EnergyRate_Electricity">Inputs!$B$15</definedName>
    <definedName name="DemandRate_Electricity">Inputs!$B$16</definedName>
    <definedName name="CapacityRate_Electricity">Inputs!$B$17</definedName>
    <definedName name="EnergyRate_LPG">Inputs!$B$18</definedName>
    <definedName name="EnergyRate_Diesel">Inputs!$B$19</definedName>
    <definedName name="BalanceTolerance">Inputs!$B$24</definedName>
    <definedName name="BalanceToleranceL4">Inputs!$B$25</definedName>
    <definedName name="Total_Capex">Portfolio!$E$47</definedName>
    <definedName name="Total_NetSaving">Portfolio!$H$47</definedName>
    <definedName name="Total_kWh">Portfolio!$I$47</definedName>
    <definedName name="Total_Payback">Portfolio!$J$47</definedName>
    <definedName name="Total_NPV">Portfolio!$K$47</definedName>
    <definedName name="Total_IRR">Portfolio!$L$47</definedName>
    <definedName name="Total_LCSE">Portfolio!$O$47</definedName>
    <definedName name="Total_AvoidedRate">Portfolio!$P$47</definedName>
    <definedName name="CurveCount">Portfolio!$Q$47</definedName>
    <definedName name="LoanShare">Loan!$C$6</definedName>
    <definedName name="LoanRate">Loan!$C$7</definedName>
    <definedName name="LoanTenor">Loan!$C$8</definedName>
    <definedName name="TargetDSCR">Loan!$C$9</definedName>
    <definedName name="Loan_Amount">Loan!$C$17</definedName>
    <definedName name="Loan_DebtService">Loan!$C$19</definedName>
    <definedName name="_xlnm.Print_Titles" localSheetId="3">'Inventory'!$5:$5</definedName>
    <definedName name="_xlnm.Print_Titles" localSheetId="5">'Measures'!$5:$5</definedName>
    <definedName name="_xlnm.Print_Titles" localSheetId="6">'CashFlows'!$5:$5</definedName>
    <definedName name="_xlnm.Print_Titles" localSheetId="8">'Loan'!$30:$30</definedName>
  </definedNames>
  <calcPr calcId="171027" fullCalcOnLoad="1"/>
</workbook>
</file>

<file path=xl/sharedStrings.xml><?xml version="1.0" encoding="utf-8"?>
<sst xmlns="http://schemas.openxmlformats.org/spreadsheetml/2006/main" count="2389" uniqueCount="1032">
  <si>
    <t>Advanced Energy Audit</t>
  </si>
  <si>
    <t>Audit workbook: every figure as a live formula, tagged by how it was obtained</t>
  </si>
  <si>
    <t>Demo Foods (Pty) Ltd (fictional)</t>
  </si>
  <si>
    <t>FICTIONAL DEMONSTRATION: this site, its bills, readings, quotes and rates are invented. It is not a real company, site or client.</t>
  </si>
  <si>
    <t>The audit</t>
  </si>
  <si>
    <t>Site</t>
  </si>
  <si>
    <t>Sector</t>
  </si>
  <si>
    <t>Food processing: bakery and cold storage</t>
  </si>
  <si>
    <t>Location</t>
  </si>
  <si>
    <t>Gauteng, South Africa (fictional site)</t>
  </si>
  <si>
    <t>Audit period</t>
  </si>
  <si>
    <t>July 2025 to June 2026</t>
  </si>
  <si>
    <t>Prepared for</t>
  </si>
  <si>
    <t>Prepared by</t>
  </si>
  <si>
    <t>Thabiso Kali, Certified Energy Manager</t>
  </si>
  <si>
    <t>Audit standard</t>
  </si>
  <si>
    <t>ISO 50002-1:2025 detailed audit; ASHRAE Standard 211 Level 2, refrigeration at Level 3</t>
  </si>
  <si>
    <t>Report date</t>
  </si>
  <si>
    <t>2026-10-19</t>
  </si>
  <si>
    <t>Workbook made</t>
  </si>
  <si>
    <t>2026-10-21</t>
  </si>
  <si>
    <t>Project file</t>
  </si>
  <si>
    <t>p-demo-foods · last saved 2026-10-19</t>
  </si>
  <si>
    <t>Basis</t>
  </si>
  <si>
    <t>Nominal rand; annual, end-of-year cash flows; year 0 = now. Energy in kWh (fuels converted at the edge).</t>
  </si>
  <si>
    <t>Headline results (links to the Portfolio and Balance sheets)</t>
  </si>
  <si>
    <t>Measures</t>
  </si>
  <si>
    <t>Capex</t>
  </si>
  <si>
    <t>Net saving, year 1 (R/yr)</t>
  </si>
  <si>
    <t>Energy saved (kWh/yr)</t>
  </si>
  <si>
    <t>Simple payback (years)</t>
  </si>
  <si>
    <t>NPV at 12.0%</t>
  </si>
  <si>
    <t>IRR</t>
  </si>
  <si>
    <t>Cost of saved energy (R/kWh)</t>
  </si>
  <si>
    <t>Balance points within tolerance</t>
  </si>
  <si>
    <t>Site energy unaccounted (share of metered)</t>
  </si>
  <si>
    <t>Data levels: how good the data behind each system is</t>
  </si>
  <si>
    <t>System</t>
  </si>
  <si>
    <t>Data level</t>
  </si>
  <si>
    <t>How its energy is estimated</t>
  </si>
  <si>
    <t>Compressed air</t>
  </si>
  <si>
    <t>Level 2: equipment inventory</t>
  </si>
  <si>
    <t>equipment register, bottom-up E = n × P × LF × h / η (about ±20%)</t>
  </si>
  <si>
    <t>Refrigeration and chillers</t>
  </si>
  <si>
    <t>Level 3: interval data</t>
  </si>
  <si>
    <t>interval or sub-meter data, annualised; regression baselines (about ±10-15%)</t>
  </si>
  <si>
    <t>Steam and boilers</t>
  </si>
  <si>
    <t>Motors, pumps and fans</t>
  </si>
  <si>
    <t>Process heat</t>
  </si>
  <si>
    <t>Lighting</t>
  </si>
  <si>
    <t>HVAC and offices</t>
  </si>
  <si>
    <t>Electrical supply and tariff</t>
  </si>
  <si>
    <t>Level 1: bills</t>
  </si>
  <si>
    <t>the carrier's metered total × a share from the walk-through (about ±30%)</t>
  </si>
  <si>
    <t>Target data level agreed in the scope: Level 2: equipment inventory.</t>
  </si>
  <si>
    <t>How to read this workbook</t>
  </si>
  <si>
    <t>1 234</t>
  </si>
  <si>
    <t>Input: a number you may change. Every sheet that uses it follows.</t>
  </si>
  <si>
    <t>=formula</t>
  </si>
  <si>
    <t>Formula: worked out from the cells it names.</t>
  </si>
  <si>
    <t>=Sheet!A1</t>
  </si>
  <si>
    <t>Link: a number brought from another sheet.</t>
  </si>
  <si>
    <t>value</t>
  </si>
  <si>
    <t>Worked out by the studio's models (a system model, the ±, a recorded factor); its source is beside it.</t>
  </si>
  <si>
    <t>R 1 234</t>
  </si>
  <si>
    <t>Headline result.</t>
  </si>
  <si>
    <t>measured</t>
  </si>
  <si>
    <t>Read from a meter, bill, nameplate or log.</t>
  </si>
  <si>
    <t>calculated</t>
  </si>
  <si>
    <t>Worked out by a tool from the inputs entered.</t>
  </si>
  <si>
    <t>estimated</t>
  </si>
  <si>
    <t>A figure you entered: a quote, a judgement or your own rate.</t>
  </si>
  <si>
    <t>assumed</t>
  </si>
  <si>
    <t>A default the tools supplied. Replace it with your own figure.</t>
  </si>
  <si>
    <t>A result is only as good as its weakest input: each measure's tag is the weakest of its numbers that matter.</t>
  </si>
  <si>
    <t>Sheets</t>
  </si>
  <si>
    <t>Discount rate, escalation, the analysis period, the tariff rates from the bills and the balance tolerances, each a named range.</t>
  </si>
  <si>
    <t>Every bill as entered, and what the latest 12 add up to per account: metered kWh and the average rates.</t>
  </si>
  <si>
    <t>The equipment register with the live formula E = n × P × Σ(LF × h) / η per item.</t>
  </si>
  <si>
    <t>Metered against bottom-up at each balance point: gap, tolerance, status and the unaccounted remainder; flows, conversions, terms and nodes.</t>
  </si>
  <si>
    <t>Each measure's inputs: kWh saved by carrier, rand saved by tariff component, capex, running cost, life, timing and tags.</t>
  </si>
  <si>
    <t>Year-by-year cash flow of every measure and of the portfolio, with escalation and discount factors.</t>
  </si>
  <si>
    <t>Simple payback, NPV, IRR and the levelised cost of saved energy per measure and in total, and the cost curve (MACC).</t>
  </si>
  <si>
    <t>If a term loan pays for the measures: the loan the savings carry at a target DSCR, the annuity schedule, the DSCR by year and the equity cash flow.</t>
  </si>
  <si>
    <t>The method notes behind each sheet, the sources they cite and the workbook's conventions.</t>
  </si>
  <si>
    <t>Disclaimer</t>
  </si>
  <si>
    <t>Savings are engineering estimates from the data listed in this workbook. Figures tagged estimated or assumed should be confirmed before an investment decision; budget costs are not quotes, and no measure is guaranteed until it is measured and verified.</t>
  </si>
  <si>
    <t>The financial figures are a business case, not investment, tax or legal advice. Tariffs, escalation and the discount rate are the stated assumptions on the Inputs sheet.</t>
  </si>
  <si>
    <t>This is a fictional demonstration: Demo Foods (Pty) Ltd and every name and number in it are invented, and nothing comes from any real company, client or employer.</t>
  </si>
  <si>
    <t>Inputs</t>
  </si>
  <si>
    <t>The settings and rates every other sheet calculates from. Amber cells are inputs: change one and the workbook follows.</t>
  </si>
  <si>
    <t>FICTIONAL DEMONSTRATION: Demo Foods (Pty) Ltd (fictional). Every name and number is invented.</t>
  </si>
  <si>
    <t>Valuation settings (studio step 8)</t>
  </si>
  <si>
    <t>Input</t>
  </si>
  <si>
    <t>Value</t>
  </si>
  <si>
    <t>Unit</t>
  </si>
  <si>
    <t>Tag</t>
  </si>
  <si>
    <t>± (%)</t>
  </si>
  <si>
    <t>Named range</t>
  </si>
  <si>
    <t>Source and notes</t>
  </si>
  <si>
    <t>Discount rate</t>
  </si>
  <si>
    <t>per year</t>
  </si>
  <si>
    <t>DiscountRate</t>
  </si>
  <si>
    <t>Nominal, the client's hurdle rate. A valuation choice, not data (assumed while it is the studio's default).</t>
  </si>
  <si>
    <t>Tariff escalation</t>
  </si>
  <si>
    <t>Escalation</t>
  </si>
  <si>
    <t>Applied to savings and running costs from year 2: year 1 is at today's tariff, (1 + e)^(t − 1) after that.</t>
  </si>
  <si>
    <t>Analysis period</t>
  </si>
  <si>
    <t>years</t>
  </si>
  <si>
    <t>AnalysisPeriod</t>
  </si>
  <si>
    <t>The longest measure life in whole years: the length of the portfolio cash flow. Each measure's savings stop at the end of its own life; none is replaced.</t>
  </si>
  <si>
    <t>Year columns on CashFlows</t>
  </si>
  <si>
    <t>CashFlowYears</t>
  </si>
  <si>
    <t>CashFlows runs from year 0 to this year (the longest life when the workbook was made).</t>
  </si>
  <si>
    <t>Check: the year columns cover the analysis period</t>
  </si>
  <si>
    <t>Tariff rates from the bills (average of the latest 12 bills, lib/audit/bills.ts)</t>
  </si>
  <si>
    <t>Energy rate, electricity</t>
  </si>
  <si>
    <t>R/kWh</t>
  </si>
  <si>
    <t>EnergyRate_Electricity</t>
  </si>
  <si>
    <t>Eskom account (fictional number): energy charges ÷ kWh over 12 bills (average across time-of-use periods)</t>
  </si>
  <si>
    <t>Demand rate, electricity</t>
  </si>
  <si>
    <t>R/kVA/month</t>
  </si>
  <si>
    <t>DemandRate_Electricity</t>
  </si>
  <si>
    <t>Eskom account (fictional number): demand charges ÷ billed kVA over 12 bills</t>
  </si>
  <si>
    <t>Capacity rate, electricity</t>
  </si>
  <si>
    <t>CapacityRate_Electricity</t>
  </si>
  <si>
    <t>Eskom account (fictional number): capacity charges ÷ (NMD 650 kVA × 12 months)</t>
  </si>
  <si>
    <t>Energy rate, lpg</t>
  </si>
  <si>
    <t>EnergyRate_LPG</t>
  </si>
  <si>
    <t>Bulk LPG supply (fictional supplier): cost ÷ kWh (kg × 13.139 kWh/kg) over 12 bills</t>
  </si>
  <si>
    <t>Energy rate, diesel</t>
  </si>
  <si>
    <t>EnergyRate_Diesel</t>
  </si>
  <si>
    <t>Diesel for the standby generator (fictional supplier): cost ÷ kWh (litre × 10.033 kWh/litre) over 12 bills</t>
  </si>
  <si>
    <t>An average energy rate suits a saving spread like the site's load; a saving in peak or off-peak hours is worth more or less (Sources &amp; methods, section 9).</t>
  </si>
  <si>
    <t>Energy balance settings (studio step 3)</t>
  </si>
  <si>
    <t>Balance tolerance</t>
  </si>
  <si>
    <t>± of metered</t>
  </si>
  <si>
    <t>BalanceTolerance</t>
  </si>
  <si>
    <t>A balance point closes when |metered − bottom-up| ≤ this share of metered (LEED existing-buildings benchmark; Sources &amp; methods, section 5).</t>
  </si>
  <si>
    <t>Tolerance where every node is at data level 4</t>
  </si>
  <si>
    <t>BalanceToleranceL4</t>
  </si>
  <si>
    <t>Process measurements behind every node (Australian EEO assessment framework benchmark; Sources &amp; methods, section 5).</t>
  </si>
  <si>
    <t>Scale estimated items to close the balance</t>
  </si>
  <si>
    <t>No</t>
  </si>
  <si>
    <t>Off: the balance is never forced; the remainder is shown as unaccounted.</t>
  </si>
  <si>
    <t>Not used in this audit</t>
  </si>
  <si>
    <t>Grid emission factor and carbon tax: the audit project carries none, so the workbook has no carbon figures and the valuation has no carbon tax.</t>
  </si>
  <si>
    <t>Bills</t>
  </si>
  <si>
    <t>Each carrier account's monthly bills (the latest 12 count) and what they add up to: the metered totals and the average rates.</t>
  </si>
  <si>
    <t>Carrier accounts: annual totals and average rates from the latest 12 bills (one column per account)</t>
  </si>
  <si>
    <t>Figure</t>
  </si>
  <si>
    <t>acc-grid</t>
  </si>
  <si>
    <t>acc-lpg</t>
  </si>
  <si>
    <t>acc-diesel</t>
  </si>
  <si>
    <t>Name</t>
  </si>
  <si>
    <t/>
  </si>
  <si>
    <t>Eskom account (fictional number)</t>
  </si>
  <si>
    <t>Bulk LPG supply (fictional supplier)</t>
  </si>
  <si>
    <t>Diesel for the standby generator (fictional supplier)</t>
  </si>
  <si>
    <t>Carrier</t>
  </si>
  <si>
    <t>electricity</t>
  </si>
  <si>
    <t>lpg</t>
  </si>
  <si>
    <t>diesel</t>
  </si>
  <si>
    <t>Balance node</t>
  </si>
  <si>
    <t>grid</t>
  </si>
  <si>
    <t>Billing unit</t>
  </si>
  <si>
    <t>kWh</t>
  </si>
  <si>
    <t>kg</t>
  </si>
  <si>
    <t>litre</t>
  </si>
  <si>
    <t>kWh per billing unit</t>
  </si>
  <si>
    <t>kWh/unit</t>
  </si>
  <si>
    <t>Heating-value basis</t>
  </si>
  <si>
    <t>—</t>
  </si>
  <si>
    <t>LHV</t>
  </si>
  <si>
    <t>Conversion tag</t>
  </si>
  <si>
    <t>Bills counted (latest 12)</t>
  </si>
  <si>
    <t>bills</t>
  </si>
  <si>
    <t>Quantity billed</t>
  </si>
  <si>
    <t>billing unit</t>
  </si>
  <si>
    <t>Annualisation (12 ÷ bills when fewer than 12)</t>
  </si>
  <si>
    <t>×</t>
  </si>
  <si>
    <t>Metered energy</t>
  </si>
  <si>
    <t>kWh/yr</t>
  </si>
  <si>
    <t>Metered tag</t>
  </si>
  <si>
    <t>Meter and conversion ±</t>
  </si>
  <si>
    <t>%</t>
  </si>
  <si>
    <t>Energy charges</t>
  </si>
  <si>
    <t>R</t>
  </si>
  <si>
    <t>kWh billed (quantity × kWh per unit)</t>
  </si>
  <si>
    <t>Energy rate (energy charges ÷ kWh billed)</t>
  </si>
  <si>
    <t>Demand charges (bills with a billed kVA)</t>
  </si>
  <si>
    <t>Billed kVA, summed over those bills</t>
  </si>
  <si>
    <t>kVA</t>
  </si>
  <si>
    <t>Demand rate (demand charges ÷ billed kVA)</t>
  </si>
  <si>
    <t>Capacity charges</t>
  </si>
  <si>
    <t>Notified maximum demand (NMD)</t>
  </si>
  <si>
    <t>Capacity rate (capacity charges ÷ (NMD × bills))</t>
  </si>
  <si>
    <t>Total cost</t>
  </si>
  <si>
    <t>Monthly bills (as entered in step 2; the latest 12 per account count)</t>
  </si>
  <si>
    <t>Account</t>
  </si>
  <si>
    <t>Month</t>
  </si>
  <si>
    <t>Quantity (billing unit)</t>
  </si>
  <si>
    <t>Reading tag</t>
  </si>
  <si>
    <t>Energy charges (R) (total cost where the bill has no split)</t>
  </si>
  <si>
    <t>Demand charges (R)</t>
  </si>
  <si>
    <t>Capacity charges (R)</t>
  </si>
  <si>
    <t>Fixed charges (R)</t>
  </si>
  <si>
    <t>Total cost (R)</t>
  </si>
  <si>
    <t>Maximum demand (kVA)</t>
  </si>
  <si>
    <t>kW at maximum demand</t>
  </si>
  <si>
    <t>Power factor at maximum demand</t>
  </si>
  <si>
    <t>In the latest 12 (1/0)</t>
  </si>
  <si>
    <t>Counts for the demand rate (1/0)</t>
  </si>
  <si>
    <t>Note</t>
  </si>
  <si>
    <t>2025-07</t>
  </si>
  <si>
    <t>2025-08</t>
  </si>
  <si>
    <t>2025-09</t>
  </si>
  <si>
    <t>2025-10</t>
  </si>
  <si>
    <t>2025-11</t>
  </si>
  <si>
    <t>2025-12</t>
  </si>
  <si>
    <t>2026-01</t>
  </si>
  <si>
    <t>2026-02</t>
  </si>
  <si>
    <t>2026-03</t>
  </si>
  <si>
    <t>2026-04</t>
  </si>
  <si>
    <t>2026-05</t>
  </si>
  <si>
    <t>2026-06</t>
  </si>
  <si>
    <t>Supplier tank telemetry, month-end readings (fictional)</t>
  </si>
  <si>
    <t>Delivery note (fictional)</t>
  </si>
  <si>
    <t>Inventory</t>
  </si>
  <si>
    <t>The equipment register. Bottom-up energy per item: E = n × P × Σ(LF × h) / η, with η = 1 for an input rating (Sources &amp; methods, section 4).</t>
  </si>
  <si>
    <t>Item</t>
  </si>
  <si>
    <t>Description</t>
  </si>
  <si>
    <t>Count n</t>
  </si>
  <si>
    <t>Rated power P (kW)</t>
  </si>
  <si>
    <t>Rating</t>
  </si>
  <si>
    <t>Efficiency η</t>
  </si>
  <si>
    <t>Mode 1</t>
  </si>
  <si>
    <t>Load factor LF1</t>
  </si>
  <si>
    <t>Hours h1 (h/yr)</t>
  </si>
  <si>
    <t>Mode 2</t>
  </si>
  <si>
    <t>Load factor LF2</t>
  </si>
  <si>
    <t>Hours h2 (h/yr)</t>
  </si>
  <si>
    <t>Σ LF × h (h/yr)</t>
  </si>
  <si>
    <t>Energy E (kWh/yr)</t>
  </si>
  <si>
    <t>Used in the balance as</t>
  </si>
  <si>
    <t>Input tags (M measured, C calculated, E estimated, A assumed)</t>
  </si>
  <si>
    <t>Notes</t>
  </si>
  <si>
    <t>ca-comp</t>
  </si>
  <si>
    <t>Screw compressors, 55 kW fixed speed (fictional make)</t>
  </si>
  <si>
    <t>ca</t>
  </si>
  <si>
    <t>input</t>
  </si>
  <si>
    <t>Running</t>
  </si>
  <si>
    <t>System model (Balance, terms)</t>
  </si>
  <si>
    <t>n M · P M · Running: LF E, h M</t>
  </si>
  <si>
    <t>rf-freezer</t>
  </si>
  <si>
    <t>Freezer plant compressors (−25 °C store and blast freezer)</t>
  </si>
  <si>
    <t>refrig</t>
  </si>
  <si>
    <t>Cross-check: the node is measured</t>
  </si>
  <si>
    <t>n M · P M · Running: LF E, h E</t>
  </si>
  <si>
    <t>rf-chill</t>
  </si>
  <si>
    <t>Chill plant compressors (+2 °C store and dispatch)</t>
  </si>
  <si>
    <t>rf-fans</t>
  </si>
  <si>
    <t>Evaporator fans</t>
  </si>
  <si>
    <t>rf-defrost</t>
  </si>
  <si>
    <t>Electric defrost heaters</t>
  </si>
  <si>
    <t>Defrosting</t>
  </si>
  <si>
    <t>n M · P M · Defrosting: LF M, h E</t>
  </si>
  <si>
    <t>mo-mixers</t>
  </si>
  <si>
    <t>Dough mixers</t>
  </si>
  <si>
    <t>motors</t>
  </si>
  <si>
    <t>output (shaft)</t>
  </si>
  <si>
    <t>Mixing</t>
  </si>
  <si>
    <t>Inventory (E above)</t>
  </si>
  <si>
    <t>n M · P M · η M · Mixing: LF E, h E</t>
  </si>
  <si>
    <t>mo-fans</t>
  </si>
  <si>
    <t>Oven-hall extraction fans</t>
  </si>
  <si>
    <t>n M · P M · η M · Running: LF E, h E</t>
  </si>
  <si>
    <t>mo-pumps</t>
  </si>
  <si>
    <t>Cooling-water and process pumps</t>
  </si>
  <si>
    <t>mo-conveyors</t>
  </si>
  <si>
    <t>Conveyors, dividers and moulders</t>
  </si>
  <si>
    <t>mo-boilerhouse</t>
  </si>
  <si>
    <t>Boiler feed pump and burner fan</t>
  </si>
  <si>
    <t>ph-burners</t>
  </si>
  <si>
    <t>Tunnel oven burners (2 ovens)</t>
  </si>
  <si>
    <t>ovens</t>
  </si>
  <si>
    <t>Baking</t>
  </si>
  <si>
    <t>Idle at temperature</t>
  </si>
  <si>
    <t>n M · P M · Baking: LF E, h E · Idle at temperature: LF E, h E</t>
  </si>
  <si>
    <t>ph-oven-drives</t>
  </si>
  <si>
    <t>Oven conveyors, recirculation and burner fans</t>
  </si>
  <si>
    <t>st-proofers</t>
  </si>
  <si>
    <t>Proofers: humidification and heating</t>
  </si>
  <si>
    <t>proofers</t>
  </si>
  <si>
    <t>steam</t>
  </si>
  <si>
    <t>In use</t>
  </si>
  <si>
    <t>n M · P C · In use: LF E, h E</t>
  </si>
  <si>
    <t>st-washer</t>
  </si>
  <si>
    <t>Crate and tray washer</t>
  </si>
  <si>
    <t>washer</t>
  </si>
  <si>
    <t>st-calorifier</t>
  </si>
  <si>
    <t>Calorifier: hot water for cleaning</t>
  </si>
  <si>
    <t>hot-water</t>
  </si>
  <si>
    <t>lt-production</t>
  </si>
  <si>
    <t>Production hall: twin 58 W T8 battens</t>
  </si>
  <si>
    <t>lighting</t>
  </si>
  <si>
    <t>Lit</t>
  </si>
  <si>
    <t>n M · P M · Lit: LF M, h E</t>
  </si>
  <si>
    <t>lt-warehouse</t>
  </si>
  <si>
    <t>Warehouse and dispatch: 400 W metal-halide high bays</t>
  </si>
  <si>
    <t>lt-coldstore</t>
  </si>
  <si>
    <t>Cold stores: twin 58 W T8 battens</t>
  </si>
  <si>
    <t>lt-offices</t>
  </si>
  <si>
    <t>Offices and canteen: 4 × 18 W T8 troffers</t>
  </si>
  <si>
    <t>lt-external</t>
  </si>
  <si>
    <t>External: 250 W sodium floodlights</t>
  </si>
  <si>
    <t>hv-splits</t>
  </si>
  <si>
    <t>Office split units</t>
  </si>
  <si>
    <t>hvac</t>
  </si>
  <si>
    <t>Cooling</t>
  </si>
  <si>
    <t>n M · P M · Cooling: LF E, h E</t>
  </si>
  <si>
    <t>hv-it</t>
  </si>
  <si>
    <t>Servers and IT</t>
  </si>
  <si>
    <t>Always on</t>
  </si>
  <si>
    <t>n M · P M · Always on: LF E, h M</t>
  </si>
  <si>
    <t>hv-office</t>
  </si>
  <si>
    <t>Canteen and office equipment</t>
  </si>
  <si>
    <t>Office hours</t>
  </si>
  <si>
    <t>n M · P M · Office hours: LF E, h E</t>
  </si>
  <si>
    <t>Inventory total by carrier (every item, before system models or measured data replace any)</t>
  </si>
  <si>
    <t>Items</t>
  </si>
  <si>
    <t>Σ E (kWh/yr)</t>
  </si>
  <si>
    <t>Balance</t>
  </si>
  <si>
    <t>Metered (bills) against bottom-up (inventory, system models, measured data) at each balance point. The remainder is shown as unaccounted, never forced (Sources &amp; methods, section 5).</t>
  </si>
  <si>
    <t>Balance points: where a metered supply meets the estimated demand</t>
  </si>
  <si>
    <t>Point</t>
  </si>
  <si>
    <t>Balance point</t>
  </si>
  <si>
    <t>Metered supply (kWh/yr)</t>
  </si>
  <si>
    <t>Bottom-up (kWh/yr)</t>
  </si>
  <si>
    <t>Gap (kWh/yr)</t>
  </si>
  <si>
    <t>Gap (% of metered)</t>
  </si>
  <si>
    <t>± of the gap (%)</t>
  </si>
  <si>
    <t>Tolerance (±)</t>
  </si>
  <si>
    <t>Status</t>
  </si>
  <si>
    <t>Unaccounted (kWh/yr)</t>
  </si>
  <si>
    <t>Lowest data level</t>
  </si>
  <si>
    <t>What it means</t>
  </si>
  <si>
    <t>elec-dist</t>
  </si>
  <si>
    <t>Main LV boards</t>
  </si>
  <si>
    <t>Diesel</t>
  </si>
  <si>
    <t>LPG</t>
  </si>
  <si>
    <t>site</t>
  </si>
  <si>
    <t>Whole site (all carriers)</t>
  </si>
  <si>
    <t>all</t>
  </si>
  <si>
    <t>Conversions: input = output ÷ η, loss = input − output</t>
  </si>
  <si>
    <t>Node</t>
  </si>
  <si>
    <t>Conversion</t>
  </si>
  <si>
    <t>η tag</t>
  </si>
  <si>
    <t>Fixed output (kWh/yr)</t>
  </si>
  <si>
    <t>Output (kWh/yr)</t>
  </si>
  <si>
    <t>Input (kWh/yr)</t>
  </si>
  <si>
    <t>Loss (kWh/yr)</t>
  </si>
  <si>
    <t>Loss node</t>
  </si>
  <si>
    <t>generator</t>
  </si>
  <si>
    <t>Standby generator</t>
  </si>
  <si>
    <t>gen-loss</t>
  </si>
  <si>
    <t>boiler</t>
  </si>
  <si>
    <t>Steam boiler</t>
  </si>
  <si>
    <t>flue-loss</t>
  </si>
  <si>
    <t>Flows: each link of the balance graph</t>
  </si>
  <si>
    <t>Flow</t>
  </si>
  <si>
    <t>From</t>
  </si>
  <si>
    <t>To</t>
  </si>
  <si>
    <t>How it is worked out</t>
  </si>
  <si>
    <t>Energy (kWh/yr)</t>
  </si>
  <si>
    <t>Role</t>
  </si>
  <si>
    <t>f-grid</t>
  </si>
  <si>
    <t>Metered (bills)</t>
  </si>
  <si>
    <t>normal</t>
  </si>
  <si>
    <t>f-diesel</t>
  </si>
  <si>
    <t>Bottom-up</t>
  </si>
  <si>
    <t>f-gen</t>
  </si>
  <si>
    <t>Fixed output (meter or log)</t>
  </si>
  <si>
    <t>f-gen-loss</t>
  </si>
  <si>
    <t>heat</t>
  </si>
  <si>
    <t>Conversion loss: input − output</t>
  </si>
  <si>
    <t>loss</t>
  </si>
  <si>
    <t>f-ca</t>
  </si>
  <si>
    <t>f-refrig</t>
  </si>
  <si>
    <t>f-motors</t>
  </si>
  <si>
    <t>f-ovens-el</t>
  </si>
  <si>
    <t>f-lighting</t>
  </si>
  <si>
    <t>f-hvac</t>
  </si>
  <si>
    <t>f-lpg-ovens</t>
  </si>
  <si>
    <t>f-lpg-boiler</t>
  </si>
  <si>
    <t>f-steam</t>
  </si>
  <si>
    <t>steam-dist</t>
  </si>
  <si>
    <t>f-flue</t>
  </si>
  <si>
    <t>f-blowdown</t>
  </si>
  <si>
    <t>blowdown</t>
  </si>
  <si>
    <t>f-proofers</t>
  </si>
  <si>
    <t>f-washer</t>
  </si>
  <si>
    <t>f-hot-water</t>
  </si>
  <si>
    <t>f-traps</t>
  </si>
  <si>
    <t>steam-traps</t>
  </si>
  <si>
    <t>f-pipes</t>
  </si>
  <si>
    <t>steam-pipes</t>
  </si>
  <si>
    <t>flow:unaccounted:elec-dist</t>
  </si>
  <si>
    <t>unaccounted:elec-dist</t>
  </si>
  <si>
    <t>Unaccounted: metered − bottom-up</t>
  </si>
  <si>
    <t>unaccounted</t>
  </si>
  <si>
    <t>flow:unaccounted:diesel</t>
  </si>
  <si>
    <t>unaccounted:diesel</t>
  </si>
  <si>
    <t>flow:unaccounted:lpg</t>
  </si>
  <si>
    <t>unaccounted:lpg</t>
  </si>
  <si>
    <t>Bottom-up terms: what each end use and loss is estimated from</t>
  </si>
  <si>
    <t>Term</t>
  </si>
  <si>
    <t>Estimate (kWh/yr)</t>
  </si>
  <si>
    <t>Scale (recorded)</t>
  </si>
  <si>
    <t>Used (kWh/yr)</t>
  </si>
  <si>
    <t>Source</t>
  </si>
  <si>
    <t>Share of carrier</t>
  </si>
  <si>
    <t>model:compressed-air</t>
  </si>
  <si>
    <t>Compressor plant (2 × 61 kW, part-load model)</t>
  </si>
  <si>
    <t>model</t>
  </si>
  <si>
    <t>Compressed air model, worked out by the studio (Sources &amp; methods, section 6)</t>
  </si>
  <si>
    <t>measured:refrig</t>
  </si>
  <si>
    <t>Refrigeration (interval data, annualised)</t>
  </si>
  <si>
    <t>interval</t>
  </si>
  <si>
    <t>16,450 kWh logged (336 readings at 30 min) × 52.14 (one week × 365/7)</t>
  </si>
  <si>
    <t>item:mo-mixers</t>
  </si>
  <si>
    <t>inventory</t>
  </si>
  <si>
    <t>E = n × P × Σ(LF × h) / η (Inventory sheet)</t>
  </si>
  <si>
    <t>item:mo-fans</t>
  </si>
  <si>
    <t>item:mo-pumps</t>
  </si>
  <si>
    <t>item:mo-conveyors</t>
  </si>
  <si>
    <t>item:mo-boilerhouse</t>
  </si>
  <si>
    <t>item:ph-burners</t>
  </si>
  <si>
    <t>item:ph-oven-drives</t>
  </si>
  <si>
    <t>item:lt-production</t>
  </si>
  <si>
    <t>item:lt-warehouse</t>
  </si>
  <si>
    <t>item:lt-coldstore</t>
  </si>
  <si>
    <t>item:lt-offices</t>
  </si>
  <si>
    <t>item:lt-external</t>
  </si>
  <si>
    <t>item:hv-splits</t>
  </si>
  <si>
    <t>item:hv-it</t>
  </si>
  <si>
    <t>item:hv-office</t>
  </si>
  <si>
    <t>model:steam:blowdown</t>
  </si>
  <si>
    <t>Boiler blowdown (4% of feedwater)</t>
  </si>
  <si>
    <t>Steam and boilers model, worked out by the studio (Sources &amp; methods, section 6)</t>
  </si>
  <si>
    <t>model:steam:st-proofers</t>
  </si>
  <si>
    <t>model:steam:st-washer</t>
  </si>
  <si>
    <t>model:steam:st-calorifier</t>
  </si>
  <si>
    <t>model:steam:traps</t>
  </si>
  <si>
    <t>Failed steam traps (6 open, Napier orifice estimate)</t>
  </si>
  <si>
    <t>model:steam:leaks</t>
  </si>
  <si>
    <t>Steam leaks (2 small, Napier orifice estimate)</t>
  </si>
  <si>
    <t>model:steam:pipes</t>
  </si>
  <si>
    <t>Bare pipe and valves (42 m)</t>
  </si>
  <si>
    <t>Nodes by carrier: bottom-up terms, the inventory's estimate, inflow and outflow</t>
  </si>
  <si>
    <t>Kind</t>
  </si>
  <si>
    <t>Bottom-up terms (kWh/yr)</t>
  </si>
  <si>
    <t>Inventory estimate (kWh/yr)</t>
  </si>
  <si>
    <t>Inflow (kWh/yr)</t>
  </si>
  <si>
    <t>Outflow (kWh/yr)</t>
  </si>
  <si>
    <t>Grid electricity</t>
  </si>
  <si>
    <t>source</t>
  </si>
  <si>
    <t>conversion</t>
  </si>
  <si>
    <t>flows</t>
  </si>
  <si>
    <t>Generator losses</t>
  </si>
  <si>
    <t>distribution</t>
  </si>
  <si>
    <t>end-use</t>
  </si>
  <si>
    <t>Refrigeration</t>
  </si>
  <si>
    <t>Tunnel ovens</t>
  </si>
  <si>
    <t>Boiler flue and shell losses</t>
  </si>
  <si>
    <t>Boiler blowdown</t>
  </si>
  <si>
    <t>Steam mains</t>
  </si>
  <si>
    <t>Proofers</t>
  </si>
  <si>
    <t>Crate washer</t>
  </si>
  <si>
    <t>Hot water (calorifier)</t>
  </si>
  <si>
    <t>Failed traps and steam leaks</t>
  </si>
  <si>
    <t>Bare pipe heat loss</t>
  </si>
  <si>
    <t>Unaccounted electricity</t>
  </si>
  <si>
    <t>Unaccounted diesel</t>
  </si>
  <si>
    <t>Unaccounted lpg</t>
  </si>
  <si>
    <t>Each measure as the business case reads it (lib/ecosystem MeasureResult): savings by carrier and by tariff component, costs, life and tags.</t>
  </si>
  <si>
    <t>#</t>
  </si>
  <si>
    <t>Measure</t>
  </si>
  <si>
    <t>Measure id</t>
  </si>
  <si>
    <t>Category</t>
  </si>
  <si>
    <t>Source module</t>
  </si>
  <si>
    <t>Opportunity status</t>
  </si>
  <si>
    <t>Electricity saved (kWh/yr)</t>
  </si>
  <si>
    <t>LPG saved (kWh/yr)</t>
  </si>
  <si>
    <t>Energy saved, total (kWh/yr)</t>
  </si>
  <si>
    <t>kWh tag</t>
  </si>
  <si>
    <t>Demand reduction (kVA)</t>
  </si>
  <si>
    <t>Energy charges saved (R/yr)</t>
  </si>
  <si>
    <t>Demand charges saved (R/yr)</t>
  </si>
  <si>
    <t>Capacity charges saved (R/yr)</t>
  </si>
  <si>
    <t>Fixed charges saved (R/yr)</t>
  </si>
  <si>
    <t>Gross saving, year 1 (R/yr)</t>
  </si>
  <si>
    <t>Rand tag</t>
  </si>
  <si>
    <t>Saving decay (fraction/yr)</t>
  </si>
  <si>
    <t>Capex (R)</t>
  </si>
  <si>
    <t>Capex tag</t>
  </si>
  <si>
    <t>Running cost change (R/yr)</t>
  </si>
  <si>
    <t>Running cost tag</t>
  </si>
  <si>
    <t>Life (years)</t>
  </si>
  <si>
    <t>Life tag</t>
  </si>
  <si>
    <t>Months to implement</t>
  </si>
  <si>
    <t>Measure tag</t>
  </si>
  <si>
    <t>Rand saving priced</t>
  </si>
  <si>
    <t>Switch compressors off outside production</t>
  </si>
  <si>
    <t>m-o-ca-off-hours</t>
  </si>
  <si>
    <t>Behaviour and management</t>
  </si>
  <si>
    <t>audit-compressed-air 1.0.0</t>
  </si>
  <si>
    <t>quantified</t>
  </si>
  <si>
    <t>energy at the bill rates (Inputs)</t>
  </si>
  <si>
    <t>Compressed-air leak repair programme</t>
  </si>
  <si>
    <t>m-o-ca-leaks</t>
  </si>
  <si>
    <t>Maintenance</t>
  </si>
  <si>
    <t>Duct the compressor intakes to outside air</t>
  </si>
  <si>
    <t>m-o-ca-intake</t>
  </si>
  <si>
    <t>Retrofit</t>
  </si>
  <si>
    <t>Variable-speed trim compressor</t>
  </si>
  <si>
    <t>m-o-ca-vsd</t>
  </si>
  <si>
    <t>New technology</t>
  </si>
  <si>
    <t>Variable-speed drive on a throttled pump (pump and system curves): Cooling-water and process pumps</t>
  </si>
  <si>
    <t>m-o-mo-pump-vsd-mo-pumps</t>
  </si>
  <si>
    <t>audit-pump-system 1.0.0</t>
  </si>
  <si>
    <t>VSDs on the oven-hall extraction fans (2 × 22 kW)</t>
  </si>
  <si>
    <t>m-o-mo-vsd-mo-fans</t>
  </si>
  <si>
    <t>motor-vsd-savings 1.0.0</t>
  </si>
  <si>
    <t>Synchronous or cogged belts instead of V-belts: Oven-hall extraction fans</t>
  </si>
  <si>
    <t>m-o-mo-belt-drive-mo-fans</t>
  </si>
  <si>
    <t>audit-belt-drive 1.0.0</t>
  </si>
  <si>
    <t>Floating head pressure on the refrigeration plant</t>
  </si>
  <si>
    <t>m-o-rf-head-pressure</t>
  </si>
  <si>
    <t>Controls</t>
  </si>
  <si>
    <t>audit-refrigeration 1.0.0</t>
  </si>
  <si>
    <t>Refrigeration heat recovery: a desuperheater for hot water</t>
  </si>
  <si>
    <t>m-o-rf-desuperheater</t>
  </si>
  <si>
    <t>Heat recovery</t>
  </si>
  <si>
    <t>audit-heat-exchange 1.0.0</t>
  </si>
  <si>
    <t>Boiler combustion tuning and O2 trim</t>
  </si>
  <si>
    <t>m-o-st-combustion</t>
  </si>
  <si>
    <t>audit-steam 1.0.0</t>
  </si>
  <si>
    <t>Steam trap survey and repair</t>
  </si>
  <si>
    <t>m-o-st-traps</t>
  </si>
  <si>
    <t>Repair steam leaks</t>
  </si>
  <si>
    <t>m-o-st-leaks</t>
  </si>
  <si>
    <t>Insulate bare steam pipe, valves and flanges</t>
  </si>
  <si>
    <t>m-o-st-insulation</t>
  </si>
  <si>
    <t>Heat pump instead of steam for hot water</t>
  </si>
  <si>
    <t>m-o-st-heat-pump</t>
  </si>
  <si>
    <t>audit-heat-pump 1.0.0</t>
  </si>
  <si>
    <t>Return more condensate</t>
  </si>
  <si>
    <t>m-o-st-condensate</t>
  </si>
  <si>
    <t>Flue-gas economiser</t>
  </si>
  <si>
    <t>m-o-st-economiser</t>
  </si>
  <si>
    <t>audit-economiser 1.0.0</t>
  </si>
  <si>
    <t>Tune the burners on ovens, fryers and dryers: Tunnel oven burners (2 ovens)</t>
  </si>
  <si>
    <t>m-o-ph-burner-tuning-ph-burners</t>
  </si>
  <si>
    <t>audit-burner-tuning 1.0.0</t>
  </si>
  <si>
    <t>Insulate the crate washer's soak tank and fit a lid</t>
  </si>
  <si>
    <t>m-o-ph-hot-surfaces</t>
  </si>
  <si>
    <t>audit-hot-surfaces 1.0.0</t>
  </si>
  <si>
    <t>Recover oven flue heat: Tunnel oven burners (2 ovens)</t>
  </si>
  <si>
    <t>m-o-ph-oven-heat-recovery-ph-burners</t>
  </si>
  <si>
    <t>audit-oven-heat-recovery 1.0.0</t>
  </si>
  <si>
    <t>Widen HVAC set points</t>
  </si>
  <si>
    <t>m-o-hv-setpoints</t>
  </si>
  <si>
    <t>audit-hvac 1.0.0</t>
  </si>
  <si>
    <t>Occupancy sensors in intermittently used areas</t>
  </si>
  <si>
    <t>m-o-lt-occupancy</t>
  </si>
  <si>
    <t>audit-lighting 1.0.0</t>
  </si>
  <si>
    <t>LED lighting retrofit</t>
  </si>
  <si>
    <t>m-o-lt-led</t>
  </si>
  <si>
    <t>Run on fewer transformers at light load</t>
  </si>
  <si>
    <t>m-o-el-transformer-standby</t>
  </si>
  <si>
    <t>audit-transformer 1.0.0</t>
  </si>
  <si>
    <t>Power-factor correction</t>
  </si>
  <si>
    <t>m-o-el-pf</t>
  </si>
  <si>
    <t>Electricity supply: kVA demand and capacity</t>
  </si>
  <si>
    <t>power-factor-correction 1.0.0</t>
  </si>
  <si>
    <t>demand: kVA × demand rate × 12</t>
  </si>
  <si>
    <t>Sources and notes, measure by measure</t>
  </si>
  <si>
    <t>Sources and notes</t>
  </si>
  <si>
    <t>Saving: 73,358 kWh electricity × R1.50/kWh | Capex: 1 installation × R15,000 (Compressor timer or sequencer setting and an isolation valve: assumed placeholder 2026 budget — replace with supplier quotes) | Running cost: No change in running costs (assumed) | Life: Behaviour change held by a timer (assumed) | A sanitation or maintenance crew may still need air on some idle days; the share switched off allows for it. | Any fall in the billed maximum demand is not counted.</t>
  </si>
  <si>
    <t>Saving: 130,133 kWh electricity × R1.50/kWh | Capex: 1 installation × R45,000 (Ultrasonic leak survey, tags, fittings and labour for the first repair round: assumed placeholder 2026 budget — replace with supplier quotes) | Running cost: 1 programme a year × R24,000 (Quarterly ultrasonic leak survey and repairs: assumed placeholder 2026 budget — replace with supplier quotes) | Life: Programme horizon (assumed) | Leaks come back: the quarterly survey in the running cost keeps the rate at the target. | Sequenced: worked out after Switch compressors off outside production. | On its own it would save 155,241 kWh a year. | Any fall in the billed maximum demand is not counted.</t>
  </si>
  <si>
    <t>Saving: 14,692 kWh electricity × R1.50/kWh | Capex: 2 compressors × R18,000 (Intake duct from a compressor to outside air, with a filter, weather hood and damper: assumed placeholder 2026 budget — replace with supplier quotes) | Running cost: No change in running costs (assumed) | Life: Ductwork life (assumed) | Use the year's average at the intake and outside (a week of logging at both, set against the weather station), not one hot afternoon. | Keep the duct short and fit a filter and a weather hood; a damper can switch back to room air if the room needs the heat. | Sequenced: worked out after Switch compressors off outside production; Compressed-air leak repair programme. | On its own it would save 24,028 kWh a year. | Any fall in the billed maximum demand is not counted.</t>
  </si>
  <si>
    <t>Saving: 11,579 kWh electricity × R1.50/kWh | Capex: 61 kW of compressor input × R8,500 (Variable-speed screw compressor (trim unit), installed: assumed placeholder 2026 budget — replace with supplier quotes) | Running cost: No change in running costs (assumed) | Life: Compressor life (assumed) | VSD curve: typical shape (assumed); the maker's CAGI data sheet replaces it. | Right-size the trim unit after leaks are fixed: a smaller VSD may do. | Sequenced: worked out after Switch compressors off outside production; Compressed-air leak repair programme; Duct the compressor intakes to outside air. | On its own it would save 59,002 kWh a year. | Any fall in the billed maximum demand is not counted.</t>
  </si>
  <si>
    <t>Saving: 49,820 kWh electricity × R1.50/kWh | Capex: 33 kW of motor rating × R2,500 (Variable-speed drive for a pump or fan, fitted: assumed placeholder 2026 budget — replace with supplier quotes) | Running cost: Drive upkeep: 1% of capex a year (as the VSD tool) | Life: Drive life (assumed, as the VSD tool) | Motor efficiency is held at its full-load value; the drive's own losses are included. | The pump's curve from the maker, and suction and discharge pressures at two flows, firm up the static head and the margin the valve burns. | Any fall in the billed maximum demand is not counted.</t>
  </si>
  <si>
    <t>Saving: 87,944 kWh × R1.50/kWh | Capex: Installer quote for two 22 kW drives, fitted (fictional) | Running cost: Default: 1% of capex a year | Life: Default life for a drive | Screening estimate: motor part-load efficiency, minimum speed and pump-curve shifts are ignored. | Sequenced: worked out after Variable-speed drive on a throttled pump (pump and system curves): Cooling-water and process pumps. | On its own it would save 87,944 kWh a year.</t>
  </si>
  <si>
    <t>Saving: 5,715 kWh electricity × R1.50/kWh | Capex: 44 kW of motor rating × R450 (Synchronous belt and sprockets, supplied: assumed placeholder 2026 budget — replace with supplier quotes) | Running cost: No change in running costs (assumed) | Life: Sprockets last; replacement belts cost about the same as V-belts (assumed) | A synchronous belt does not slip, so the fan or pump runs a little faster on the same pulleys and can use more power: change the pulley ratio, or trim the speed on its VSD, to hold the old speed. | Sequenced: worked out after Variable-speed drive on a throttled pump (pump and system curves): Cooling-water and process pumps; VSDs on the oven-hall extraction fans (2 × 22 kW). | On its own it would save 10,201 kWh a year. | Any fall in the billed maximum demand is not counted.</t>
  </si>
  <si>
    <t>Saving: 91,045 kWh electricity × R1.50/kWh | Capex: 2 circuits × R65,000 (Floating head pressure: controller changes and electronic expansion valves: assumed placeholder 2026 budget — replace with supplier quotes) | Running cost: No change in running costs (assumed) | Life: Controls life (assumed) | The achievable condensing temperature depends on ambient and the condenser approach; a year of weather data firms it up. | Any fall in the billed maximum demand is not counted.</t>
  </si>
  <si>
    <t>Saving: 126,494 kWh lpg × R1.86/kWh | Capex: 53.4 kW of desuperheat duty × R3,750 (Desuperheater on the compressor discharge, with water piping, pump and controls, supplied: assumed placeholder 2026 budget — replace with supplier quotes) | Running cost: No change in running costs (assumed) | Life: Exchanger life (assumed) | Floating head pressure lowers the discharge temperature: confirm the water temperature the desuperheater can reach. | Not netted against other measures that make the same hot water: count one of them. | Sequenced: worked out after Floating head pressure on the refrigeration plant. | On its own it would save 132,184 kWh a year. | Any fall in the billed maximum demand is not counted.</t>
  </si>
  <si>
    <t>Saving: 85,177 kWh lpg × R1.86/kWh | Capex: 1 boiler × R85,000 (O₂ trim kit, commissioning and burner tuning: assumed placeholder 2026 budget — replace with supplier quotes) | Running cost: 1 boiler a year × R8,000 (Annual combustion test and re-tune: assumed placeholder 2026 budget — replace with supplier quotes) | Life: Controls life (assumed) | Any fall in the billed maximum demand is not counted.</t>
  </si>
  <si>
    <t>Saving: 140,505 kWh lpg × R1.86/kWh | Capex: 1 survey × R15,000 (Steam trap survey (first): assumed placeholder 2026 budget — replace with supplier quotes) + 6 traps × R4,500 (Steam trap replaced, fitted: assumed placeholder 2026 budget — replace with supplier quotes) | Running cost: 1 programme a year × R15,000 (Annual steam trap survey: assumed placeholder 2026 budget — replace with supplier quotes) | Life: Trap life with an annual survey (assumed) | Sequenced: worked out after Boiler combustion tuning and O2 trim. | On its own it would save 147,531 kWh a year. | Any fall in the billed maximum demand is not counted.</t>
  </si>
  <si>
    <t>Saving: 59,949 kWh lpg × R1.86/kWh | Capex: 2 leaks × R3,500 (Steam leak repair: gland repacking, gasket or union, fitted: assumed placeholder 2026 budget — replace with supplier quotes) | Running cost: No change in running costs (assumed) | Life: Repairs hold about three years before glands and gaskets need doing again (assumed) | Leak sizes are judged by eye: a small wisp is taken as a 1.6 mm hole, a medium plume 3.2 mm and a large jet 6.4 mm. An ultrasonic survey firms them up. | Sequenced: worked out after Boiler combustion tuning and O2 trim; Steam trap survey and repair. | On its own it would save 62,946 kWh a year. | Any fall in the billed maximum demand is not counted.</t>
  </si>
  <si>
    <t>Saving: 181,730 kWh lpg × R1.86/kWh | Capex: 42 m of pipe × R1,600 (Pipe insulation with cladding, installed (DN25-DN50; valves as equivalent length): assumed placeholder 2026 budget — replace with supplier quotes) | Running cost: No change in running costs (assumed) | Life: Insulation life (assumed) | Sequenced: worked out after Boiler combustion tuning and O2 trim; Steam trap survey and repair; Repair steam leaks. | On its own it would save 190,816 kWh a year. | Any fall in the billed maximum demand is not counted.</t>
  </si>
  <si>
    <t>Saving: 298,808 kWh lpg × R1.86/kWh + -65,135 kWh electricity × R1.50/kWh | Capex: 79.0 kW of heating capacity × R9,750 (Air-to-water heat pump for hot water up to about 65 °C, with storage, supplied: assumed placeholder 2026 budget — replace with supplier quotes) | Running cost: No change in running costs (assumed) | Life: Heat pump life (assumed) | The heat pump adds about 26 kW of electrical load; if it runs at the time of the monthly maximum demand, the demand charge rises (not counted). | Confirm the hot-water temperature: above about 65 °C use a high-temperature heat pump or keep steam for the top-up (coverage below 100%). | Sequenced: worked out after Boiler combustion tuning and O2 trim; Steam trap survey and repair; Repair steam leaks; Insulate bare steam pipe, valves and flanges. | On its own it would save 248,613 kWh a year. | Any fall in the billed maximum demand is not counted.</t>
  </si>
  <si>
    <t>Saving: 41,786 kWh lpg × R1.86/kWh | Capex: 1 installation × R250,000 (Condensate pump set, flash vessel and return piping: assumed placeholder 2026 budget — replace with supplier quotes) | Running cost: 464 m³ less make-up water × R48/m³ (water, effluent and treatment) | Life: Pumps and piping life (assumed) | The condensate pump's electricity is not deducted (small next to the fuel saved). | Sequenced: worked out after Boiler combustion tuning and O2 trim; Steam trap survey and repair; Repair steam leaks; Insulate bare steam pipe, valves and flanges; Heat pump instead of steam for hot water. | On its own it would save 64,954 kWh a year. | Any fall in the billed maximum demand is not counted.</t>
  </si>
  <si>
    <t>Saving: 78,640 kWh lpg × R1.86/kWh | Capex: 22.1 kW of design heat recovery × R7,980 (Feedwater economiser with bypass and controls, supplied: assumed placeholder 2026 budget — replace with supplier quotes) | Running cost: No change in running costs (assumed) | Life: Economiser life (assumed) | Worked out on the flue gas after O₂ trim (less excess air, so less flue gas to cool). | Feedwater leaves the economiser at about 115 °C (in at 69 °C). | Sequenced: worked out after Boiler combustion tuning and O2 trim; Steam trap survey and repair; Repair steam leaks; Insulate bare steam pipe, valves and flanges; Heat pump instead of steam for hot water; Return more condensate. | On its own it would save 195,345 kWh a year. | Any fall in the billed maximum demand is not counted.</t>
  </si>
  <si>
    <t>Saving: 155,941 kWh lpg × R1.86/kWh | Capex: 2 burners × R6,500 (Burner tuning with a combustion analyser: assumed placeholder 2026 budget — replace with supplier quotes) | Running cost: 2 burner a year × R4,000 (Yearly re-tune: assumed placeholder 2026 budget — replace with supplier quotes) | Life: Held by a yearly re-tune (assumed) | Agree the target O₂ with the burner's maker (some oven burners need more air); keep CO below about 100 ppm. | Tuning leaves 40% less flue gas per kg of fuel; a flue heat recovery on this oven is worked out after the tuning, so the two do not overlap. | Any fall in the billed maximum demand is not counted.</t>
  </si>
  <si>
    <t>Saving: 29,201 kWh lpg × R1.86/kWh | Capex: 6 m² of surface × R1,200 (Insulation with cladding on hot tanks and equipment, installed: assumed placeholder 2026 budget — replace with supplier quotes) + 1.50 m² of open surface × R2,500 (Insulated lid or cover for an open hot tank, fitted: assumed placeholder 2026 budget — replace with supplier quotes) | Running cost: No change in running costs (assumed) | Life: Insulation and lids (assumed) | Bare areas are taken as walls; a top loses about 15% more by convection, so the saving there is a little understated. | Evaporation is from the pool equation (ASHRAE), fitted to pools: confirm on a hot tank by the fall in level, or the make-up water, with the lid off and on. | Not netted against the steam measures (they change the boiler fuel behind each kWh of steam heat): noted, not counted twice. | Any fall in the billed maximum demand is not counted.</t>
  </si>
  <si>
    <t>Saving: 63,264 kWh lpg × R1.86/kWh | Capex: 27.6 kW of design heat recovery × R9,000 (Oven or dryer flue-gas heat recovery: cleanable exchanger, ducting, bypass damper and controls, supplied: assumed placeholder 2026 budget — replace with supplier quotes) | Running cost: No change in running costs (assumed) | Life: Exchanger and ducting life (assumed) | Sized for 27.6 kW at full firing. Oven flue gas carries baking vapour and fat: specify a bypass and cleaning access. | Displaces the oven's own fuel by default; if the hot water would otherwise come from steam or a heat pump, the saving overlaps with those measures: count one of them. | Worked out after the burner tuning on this oven (4.0% O₂, 1,833,659 kWh/yr of fuel), so the two measures do not count the same fuel twice. | The flue test (2026-08-20) is applied to all 2 units of this register line: test each before sizing. | Any fall in the billed maximum demand is not counted.</t>
  </si>
  <si>
    <t>Saving: 4,204 kWh electricity × R1.50/kWh | Capex: 14 units × R400 (Set-point limits on the unit controllers (lock-out or BMS), per unit: assumed placeholder 2026 budget — replace with supplier quotes) | Running cost: No change in running costs (assumed) | Life: Behaviour change held by controller limits (assumed) | Agree the new set points with the occupants and hold them with controller limits, or the saving drifts back. | Any fall in the billed maximum demand is not counted.</t>
  </si>
  <si>
    <t>Saving: 34,520 kWh electricity × R1.50/kWh | Capex: 10 sensors × R1,400 (Occupancy sensor, installed (one per 8 fittings): assumed placeholder 2026 budget — replace with supplier quotes) | Running cost: No change in running costs (assumed) | Life: Sensor life (assumed) | LED fittings tolerate frequent switching; with discharge lamps fit the sensors after the LED retrofit. | Any fall in the billed maximum demand is not counted.</t>
  </si>
  <si>
    <t>Saving: 168,234 kWh electricity × R1.50/kWh | Capex: 160 luminaires × R1,100 (LED batten or troffer replacing fluorescent, fitted: assumed placeholder 2026 budget — replace with supplier quotes) + 36 luminaires × R3,450 (LED high bay replacing metal-halide or sodium, fitted: quote, Fictional Lighting Supplies (Pty) Ltd, 2026-09-15) + 40 luminaires × R1,100 (LED batten or troffer replacing fluorescent, fitted: assumed placeholder 2026 budget — replace with supplier quotes) + 90 luminaires × R1,100 (LED batten or troffer replacing fluorescent, fitted: assumed placeholder 2026 budget — replace with supplier quotes) + 18 luminaires × R3,800 (LED floodlight replacing metal-halide or sodium outdoors, fitted: assumed placeholder 2026 budget — replace with supplier quotes) | Running cost: No change in running costs (assumed) | Life: 50,000 h rated life (L70) at each area's hours, capped at 15 years (assumed) | Same light level assumed; confirm with a lighting design for high bays. | Sequenced: worked out after Occupancy sensors in intermittently used areas. | On its own it would save 189,736 kWh a year. | Any fall in the billed maximum demand is not counted.</t>
  </si>
  <si>
    <t>Saving: 5,401 kWh electricity × R1.50/kWh | Capex: 1 installation × R15,000 (Switching procedure, protection check and interlock to run on fewer transformers: assumed placeholder 2026 budget — replace with supplier quotes) | Running cost: No change in running costs (assumed) | Life: Operating procedure (assumed) | Keep the unit switched off as a cold standby: the site keeps a spare, with a changeover time instead of automatic cover. Check protection, earthing and the changeover procedure with the unit isolated. | These losses are inside the metered energy when the site is metered on the medium-voltage side; on a low-voltage meter the utility carries them and nothing is saved on the bill. | Any fall in the billed maximum demand is not counted.</t>
  </si>
  <si>
    <t>Saving: No energy saving counted | Capex: 200 kvar × R680/kvar (power-factor tool) | Running cost: Default: 1% of capex a year | Life: Default life for a capacitor bank | Counts kVA-based charges only; reactive energy (kvarh) charges and lower cable losses are not added. | Assumes the kW and power factor at maximum demand are similar every month.</t>
  </si>
  <si>
    <t>CashFlows</t>
  </si>
  <si>
    <t>Nominal rand, end-of-year flows, year 0 = now. CF0 = −capex; CFt = S(1 − d)^(t−1)(1 + e)^(t−1) − O(1 + e)^(t−1) for t ≤ n, 0 after (lib/ecosystem/portfolio.ts).</t>
  </si>
  <si>
    <t>Life n (years)</t>
  </si>
  <si>
    <t>Escalation factor (1 + e)^(t − 1)</t>
  </si>
  <si>
    <t>Discount factor 1 ÷ (1 + r)^t</t>
  </si>
  <si>
    <t>Portfolio net cash flow (R)</t>
  </si>
  <si>
    <t>Discounted net cash flow (R)</t>
  </si>
  <si>
    <t>Cumulative net cash flow (R)</t>
  </si>
  <si>
    <t>Discounted cumulative (R)</t>
  </si>
  <si>
    <t>Savings start in year 1 whatever the time to implement; a measure's savings stop at the end of its life and nothing is replaced (lib/ecosystem conventions).</t>
  </si>
  <si>
    <t>Portfolio</t>
  </si>
  <si>
    <t>Per measure and in total: simple payback, NPV, IRR and the levelised cost of saved energy, then the cost curve (MACC). Same conventions as the studio's step 8.</t>
  </si>
  <si>
    <t>Key results</t>
  </si>
  <si>
    <t>Measures in the portfolio</t>
  </si>
  <si>
    <t>Running cost change, year 1 (R/yr)</t>
  </si>
  <si>
    <t>Total capex ÷ total year-1 net saving</t>
  </si>
  <si>
    <t>NPV (R)</t>
  </si>
  <si>
    <t>At the discount rate, over the analysis period (Inputs)</t>
  </si>
  <si>
    <t>Of the portfolio net cash flow</t>
  </si>
  <si>
    <t>kWh-weighted LCSE of the measures on the cost curve</t>
  </si>
  <si>
    <t>Avoided energy rate on the curve (R/kWh)</t>
  </si>
  <si>
    <t>Energy charges saved ÷ kWh saved, curve measures</t>
  </si>
  <si>
    <t>Analysis period (years)</t>
  </si>
  <si>
    <t>Longest measure life</t>
  </si>
  <si>
    <t>Weakest tag across the measures</t>
  </si>
  <si>
    <t>0 measured, 0 calculated, 0 estimated, 24 assumed</t>
  </si>
  <si>
    <t>Measure by measure</t>
  </si>
  <si>
    <t>Life n (whole years)</t>
  </si>
  <si>
    <t>One IRR?</t>
  </si>
  <si>
    <t>CRF (r, n)</t>
  </si>
  <si>
    <t>LCSE (R/kWh)</t>
  </si>
  <si>
    <t>Avoided energy rate (R/kWh)</t>
  </si>
  <si>
    <t>On the cost curve (1/0)</t>
  </si>
  <si>
    <t>Curve key (R/kWh)</t>
  </si>
  <si>
    <t>Curve rank</t>
  </si>
  <si>
    <t>LCSE × kWh (R/yr)</t>
  </si>
  <si>
    <t>Yes</t>
  </si>
  <si>
    <t>24 measures</t>
  </si>
  <si>
    <t>Cost curve of saved energy (MACC): cheapest saved kWh first, bar width = kWh saved a year</t>
  </si>
  <si>
    <t>Rank</t>
  </si>
  <si>
    <t>Cumulative from (kWh/yr)</t>
  </si>
  <si>
    <t>Cumulative to (kWh/yr)</t>
  </si>
  <si>
    <t>Against the avoided energy rate</t>
  </si>
  <si>
    <t>Off the curve: Power-factor correction (saves no kWh (its value is in demand, capacity or time-of-use charges)).</t>
  </si>
  <si>
    <t>Loan</t>
  </si>
  <si>
    <t>If a term loan pays for the measures: the loan the savings can carry at a target DSCR, an annuity repayment, the DSCR by year and the equity cash flow (lib/ecosystem/loan.ts). A sizing sketch, not a term sheet.</t>
  </si>
  <si>
    <t>Loan settings (studio step 9; change them here or in the studio)</t>
  </si>
  <si>
    <t>Debt share of capex</t>
  </si>
  <si>
    <t>LoanShare</t>
  </si>
  <si>
    <t>0 to 100%. Default 70%.</t>
  </si>
  <si>
    <t>Interest rate (nominal, all-in)</t>
  </si>
  <si>
    <t>LoanRate</t>
  </si>
  <si>
    <t>Default 11.5%: an assumed prime-linked rate. Use the bank's quote.</t>
  </si>
  <si>
    <t>Tenor (years)</t>
  </si>
  <si>
    <t>LoanTenor</t>
  </si>
  <si>
    <t>Whole years, 1 to 30; annual payments in arrears.</t>
  </si>
  <si>
    <t>Target minimum DSCR</t>
  </si>
  <si>
    <t>TargetDSCR</t>
  </si>
  <si>
    <t>The lender's minimum cover; confirm it with the bank.</t>
  </si>
  <si>
    <t>Sizing and the lender's figures</t>
  </si>
  <si>
    <t>Year 0 of the portfolio net cash flow (CashFlows)</t>
  </si>
  <si>
    <t>Loan at the debt share (R)</t>
  </si>
  <si>
    <t>share × capex</t>
  </si>
  <si>
    <t>Capital recovery factor CRF(i, n)</t>
  </si>
  <si>
    <t>Level payment per rand borrowed</t>
  </si>
  <si>
    <t>Weakest net saving within the tenor (R)</t>
  </si>
  <si>
    <t>The weakest year binds a level payment</t>
  </si>
  <si>
    <t>Largest loan at the target DSCR (R)</t>
  </si>
  <si>
    <t>A_max ÷ CRF, A_max = weakest CFADS ÷ target DSCR</t>
  </si>
  <si>
    <t>Loan (R)</t>
  </si>
  <si>
    <t>The smaller of the two</t>
  </si>
  <si>
    <t>What sets the loan</t>
  </si>
  <si>
    <t>Debt service a year (R)</t>
  </si>
  <si>
    <t>Interest + principal, level</t>
  </si>
  <si>
    <t>Minimum DSCR</t>
  </si>
  <si>
    <t>Lenders size and set covenants on the weakest year</t>
  </si>
  <si>
    <t>Average DSCR</t>
  </si>
  <si>
    <t>Over the tenor</t>
  </si>
  <si>
    <t>Equity in (R)</t>
  </si>
  <si>
    <t>Capex less the loan</t>
  </si>
  <si>
    <t>Equity IRR</t>
  </si>
  <si>
    <t>Of the equity cash flow</t>
  </si>
  <si>
    <t>Equity NPV (R)</t>
  </si>
  <si>
    <t>At the discount rate (Inputs)</t>
  </si>
  <si>
    <t>Meets the target in every year</t>
  </si>
  <si>
    <t>Net saving = the portfolio's year-t cash flow (every measure in the studio's step 9). The report's lender view uses the firm measures only.</t>
  </si>
  <si>
    <t>Debt schedule by year (nominal rand)</t>
  </si>
  <si>
    <t>Year</t>
  </si>
  <si>
    <t>Net saving, CFADS (R)</t>
  </si>
  <si>
    <t>In the tenor (1/0)</t>
  </si>
  <si>
    <t>CFADS within the tenor (R)</t>
  </si>
  <si>
    <t>Opening balance (R)</t>
  </si>
  <si>
    <t>Interest (R)</t>
  </si>
  <si>
    <t>Debt service (R)</t>
  </si>
  <si>
    <t>Principal (R)</t>
  </si>
  <si>
    <t>Closing balance (R)</t>
  </si>
  <si>
    <t>DSCR</t>
  </si>
  <si>
    <t>Equity cash flow (R)</t>
  </si>
  <si>
    <t>Sources &amp; methods</t>
  </si>
  <si>
    <t>How every figure in this workbook is worked out: the method notes of the audit engine, the sources they cite and the workbook's conventions.</t>
  </si>
  <si>
    <t>Method notes: each section's formulas and the method in plain words</t>
  </si>
  <si>
    <t>Section</t>
  </si>
  <si>
    <t>Formulas</t>
  </si>
  <si>
    <t>Method</t>
  </si>
  <si>
    <t>Applied on</t>
  </si>
  <si>
    <t>1. Units and conversions</t>
  </si>
  <si>
    <t xml:space="preserve">kWh = billed quantity × kWh per billing unit
Diesel: 43.0 MJ/kg × 0.84 kg/l ÷ 3.6 = 10.03 kWh/l (net)
LPG: 47.3 MJ/kg ÷ 3.6 = 13.14 kWh/kg (net); gross ≈ 1.086 × net
Natural gas: 1 GJ = 277.78 kWh (gross, as billed); coal: 25.8 MJ/kg (net)
Water below 100 °C: h ≈ 4.19 × T kJ/kg</t>
  </si>
  <si>
    <t>One internal unit per quantity: kWh, kW, kVA, kg, °C, bar(g) and rand. Bills and nameplates are converted once, at the edge, and the factor and its source stay on the carrier account. Fuel factors are IPCC 2006 net calorific values (use the supplier's analysis where it exists). Saturated steam properties come from IAPWS-IF97 table values, interpolated in pressure.</t>
  </si>
  <si>
    <t>2. Data levels</t>
  </si>
  <si>
    <t xml:space="preserve">Level 1 (bills): E = share × metered total of the carrier
Level 2 (inventory): E = n × P × LF × h / η
Level 3 (interval): E = measured energy × annualisation factor
Level 4 (process): energy and mass balance per process unit</t>
  </si>
  <si>
    <t>The data level is set for each system (and can be overridden for a node), never for the whole site. Typical uncertainty: ±30% or worse at level 1, about ±20% at level 2, ±10-15% at level 3, ±5-10% at level 4. The levels follow the logic of ASHRAE Standard 211 audit levels and ISO 50002-1's proportionate data collection. A level-1 share is part of the bill it comes from, so it cannot confirm the balance; only level 2 and above test it.</t>
  </si>
  <si>
    <t>3. Uncertainty</t>
  </si>
  <si>
    <t xml:space="preserve">Product or quotient: u_rel = √(Σ u_rel,i²)
Sum: u_abs = √(Σ u_abs,i²); u_rel = u_abs ÷ |Σ x_i|
Difference a − b (a gap): u_abs = √(u_abs,a² + u_abs,b²)
Defaults when none is stated: measured ±3%, calculated ±10%, estimated ±15%, assumed ±30%</t>
  </si>
  <si>
    <t>Every number carries a tag and, where known, a ± (one standard uncertainty). Independent uncertainties combine in quadrature, the first-order method of the GUM (JCGM 100:2008). Through a model (the compressor plant, the steam system) each input is raised by its uncertainty in turn and the changes are added in quadrature. A result's tag is its weakest input's, never better than calculated. Inputs are treated as independent, so totals are slightly optimistic where one assumption is used on many items.</t>
  </si>
  <si>
    <t>4. Bottom-up energy of an item</t>
  </si>
  <si>
    <t xml:space="preserve">E = n × P_rated × Σ_modes(LF × h) ÷ η   (η = 1 for an input rating)
u(E)² = u(n)² + u(P)² + u(Σ LF·h)² + u(η)²</t>
  </si>
  <si>
    <t>n is the count, P the nameplate (the input, or the shaft output for motors), and the sum runs over the item's operating modes (for example baking and idle at temperature). The mode terms add as a sum for the uncertainty. The Inventory sheet holds this formula live for every item.</t>
  </si>
  <si>
    <t>5. The energy balance</t>
  </si>
  <si>
    <t xml:space="preserve">Metered = Σ latest 12 bills × kWh per unit (× 12 ÷ n with fewer than 12 bills)
Conversion: input = output ÷ η; loss = input − output
gap = (E_metered − Σ E_i) ÷ E_metered
Closes when |gap| ≤ 10% (5% where every node behind the point is at level 4)
Optional scaling: k = (E_metered − Σ measured and calculated) ÷ Σ estimated and assumed</t>
  </si>
  <si>
    <t>Sources, conversions (boiler, generator), boards, end uses, losses and an explicit unaccounted node are joined by flows of one carrier each. An end use takes measured data at level 3 or above, otherwise its system model's terms or E for each item, otherwise a level-1 share. A balance point is where a metered supply meets the estimated demand. The balance is never forced: the remainder is shown as unaccounted. Outside tolerance the contributors are ranked by kWh × ± for review. Scaling is optional, touches only estimated and assumed items, and is recorded. Mass streams are checked against the same tolerance. Benchmarks: LEED existing-buildings audits (end uses within 10% of the bills); the Australian EEO framework (80% of energy within ±5%).</t>
  </si>
  <si>
    <t>6. System models and measures</t>
  </si>
  <si>
    <t xml:space="preserve">state (from the inventory and survey) → annual energy by carrier
measure: state before → state after; saving = energy before − energy after</t>
  </si>
  <si>
    <t>Each modelled system has a plain state built from the register and its survey. A measure is a step that turns one state into the next, so the balance and the savings describe the same plant and the measures on one system can be applied in order (section 7).</t>
  </si>
  <si>
    <t>6.1 Compressed air</t>
  </si>
  <si>
    <t xml:space="preserve">Part load at capacity fraction C: load-unload u + (1 − u)C (u ≈ 0.25-0.35); modulation m₀ + (1 − m₀)C (m₀ ≈ 0.7); VSD (v₀ + (1 − v₀)C)(1 + δ)
Pressure: specific power ∝ f(p) = (p_abs ÷ p_atm)^((k − 1) ÷ k) − 1, k = 1.4
Leak test: leak flow = capacity running × T_loaded ÷ (T_loaded + T_unloaded)
Heat recovery: Q = E × recoverable share × used share; fuel displaced = Q ÷ heater efficiency
Annual energy = Σ_blocks hours × plant kW at (end-use demand + leaks)</t>
  </si>
  <si>
    <t>Identical units with ideal sequencing: all but one fully loaded, one trim unit at the remainder. Leaks scale with absolute pressure. The part-load shapes follow the US DOE / Compressed Air Challenge sourcebook; the coefficients are typical (assumed) until a CAGI data sheet or a kW log replaces them. Measures: switch off out of hours, lower the pressure, repair leaks to a target share, cooler intake air, a VSD trim compressor, heat recovery.</t>
  </si>
  <si>
    <t>6.2 Steam</t>
  </si>
  <si>
    <t xml:space="preserve">Failed trap (Napier, DOE Steam Tip Sheet #1): W (lb/h) = 24.24 × P (psia) × D² (in²) × severity
Bare pipe: q' = π D (h_c + h_r)(T_s − T_a); h_c = 1.32 (ΔT ÷ D)^0.25
Feedwater F = S ÷ (1 − b); blowdown B = bF; make-up M = F − R
Fuel = Q ÷ η; a better efficiency saves ΔF = F (1 − η₁ ÷ η₂)</t>
  </si>
  <si>
    <t>A mass and energy balance of the steam system: steam raised for the users, trap and leak losses and pipe condensate; condensate returned; blowdown and make-up water, the feedwater temperature from mixing, and the boiler's fuel. Insulated pipe is solved for its surface temperature. It follows the system view of the DOE/NREL steam sourcebook. Measures: combustion tuning and O2 trim, automatic TDS control, trap survey and repair, leak repair, insulation, condensate return (the water and treatment saved is a negative running cost), blowdown heat recovery.</t>
  </si>
  <si>
    <t>6.3 Refrigeration</t>
  </si>
  <si>
    <t xml:space="preserve">COP = constant × T_e ÷ (T_c − T_e)   (kelvin; a fixed fraction of Carnot)
Same cooling load: E_new ÷ E_old = COP_old ÷ COP_new</t>
  </si>
  <si>
    <t>About 1.5% per kelvin of lift for a freezer and 2.5-3% for a chiller, the conservative end of the 2-4% per °C screening figure. At level 3 the measured energy is shared over the node's items in proportion to their inventory estimates, so savings start from the measured figure. Measures: floating head pressure, condenser cleaning, a higher evaporating temperature, a new chiller at the end of its life, a desuperheater.</t>
  </si>
  <si>
    <t>6.4 Lighting</t>
  </si>
  <si>
    <t xml:space="preserve">E = n × W × h × f_on ÷ 1000
Occupancy sensors: f_on × (1 − r), r = 24% by default</t>
  </si>
  <si>
    <t>LED retrofit at like-for-like watts from the supplier's data sheet, or a screening ratio by lamp type. The 24% is the average for occupancy sensing in the LBNL meta-analysis by Williams et al. (LEUKOS, 2012). Measures: switch-off campaign, occupancy and daylight controls, delamping, LED retrofit.</t>
  </si>
  <si>
    <t>6.5 Motors, pumps and fans</t>
  </si>
  <si>
    <t xml:space="preserve">E = P × LF × h ÷ η
Higher-efficiency motor: ΔE = E (1 − η_old ÷ η_new)
VSD: affinity laws over the flow duty (the site's motor and VSD tool)</t>
  </si>
  <si>
    <t>VSDs go through the site's own motor and VSD tool, its baseline set to equal the inventory energy. IE minimum efficiencies come from IEC 60034-30-1:2014 (IE2 to IE4 also in Regulation (EU) 2019/1781, Annex I), interpolated in log kW. Full-load efficiencies only.</t>
  </si>
  <si>
    <t>6.6 Electrical supply and tariff</t>
  </si>
  <si>
    <t xml:space="preserve">Demand saving = kVA reduction × demand rate × 12
kVA reduction from the 12-bill means of kW and power factor at maximum demand</t>
  </si>
  <si>
    <t>Power-factor correction, the NMD optimiser and solar PV go through the site's existing tools. Load shifting needs half-hourly data and the time-of-use rate table, so version 1 lists it as needing data.</t>
  </si>
  <si>
    <t>6.7 Process heat and HVAC</t>
  </si>
  <si>
    <t>Oven idle firing: E = n × P × LF_idle × h_idle (from the inventory's idle mode)</t>
  </si>
  <si>
    <t>Idle firing is quantified from the register. Oven flue heat recovery is quantified from a flue-gas test on the oven (6.17). HVAC schedules and set points have their own module and model.</t>
  </si>
  <si>
    <t>6.8 Heat pumps</t>
  </si>
  <si>
    <t xml:space="preserve">Q = E_in × η_heater; E_hp = Q × c ÷ SCOP
Saving: E_in × c on the heater's carrier; electricity added: E_hp
From a calorifier: Q = m_steam × h_fg</t>
  </si>
  <si>
    <t>The process keeps the heat it needs; a heat pump makes it instead of elements, a burner or a steam calorifier. A calorifier's steam comes off the steam model, so the boiler fuel and losses behind it go and the later steam measures see less steam. Defaults are assumed (SCOP 3.0 for about 60 °C water); the maker's data at the site's temperatures replaces them. The extra electrical demand is noted, not counted.</t>
  </si>
  <si>
    <t>6.9 Boiler economiser</t>
  </si>
  <si>
    <t xml:space="preserve">O₂,st = 2.664 C + 7.936 H + 0.998 S − O; air = O₂,st ÷ 0.2314
Excess air ≈ O₂ ÷ (20.9 − O₂)
q = Σ m_i cp_i (T_in − T_out); r = q ÷ LHV
Fuel saved = F × (1 − η ÷ (η + r))</t>
  </si>
  <si>
    <t>Flue-gas mass from the fuel's analysis and the excess air, cooled to a safe exit above the acid dew point (gas about 120 °C, oil 150 °C, coal 175 °C, plus 20 K). The boiler's efficiency rises by the share recovered, so less fuel is burned for the same heat. After O₂ trim it is worked out at the trimmed O₂ on the fuel that is left.</t>
  </si>
  <si>
    <t>6.10 Compressor heat recovery</t>
  </si>
  <si>
    <t xml:space="preserve">Recovered = min(E_comp × r × u, heat demand)
Displaced = recovered ÷ η_heater, less the recovery circuit's pump</t>
  </si>
  <si>
    <t>A share of the compressors' input (about 80-93% becomes heat, 50-90% of it recoverable, per the DOE / Compressed Air Challenge sourcebook) displaces boiler fuel or electric heating where a coincident heat demand takes it. Not netted against the steam measures, which cut the same fuel.</t>
  </si>
  <si>
    <t>6.11 Chilled water and condensers</t>
  </si>
  <si>
    <t xml:space="preserve">T_evap = T_chw − approach; T_cond = condenser fluid + approach
Saving = E × (1 − COP_old ÷ COP_new), COP ∝ T_evap ÷ (T_cond − T_evap)</t>
  </si>
  <si>
    <t>A warmer chilled-water supply and a cooler condenser cut the lift. The Carnot ratio gives about 3% per kelvin for a chiller (the physics, not the 2-4% rule of thumb, sets the number used). The condenser part is left to the floating-head measure on circuits still on fixed head pressure.</t>
  </si>
  <si>
    <t>6.12 Pumps on their curves</t>
  </si>
  <si>
    <t xml:space="preserve">System: h = h_s + (1 − h_s) q²; pump: h = h_0 − (h_0 − h_1) q²
Throttled: P ∝ q h_pump(q) ÷ η(q)
VSD: n = √((h_sys(q) + (h_0 − h_1) q²) ÷ h_0); P ∝ q h_sys(q) ÷ η(q ÷ n) ÷ η_drive</t>
  </si>
  <si>
    <t>A more accurate companion to the public VSD tool for throttled and bypassed pumps: the static head, the pump curve and its efficiency curve (affinity laws), calibrated to the register's energy. With no static head it reduces to the cube law. Below the minimum speed the pump is held there and throttled.</t>
  </si>
  <si>
    <t>6.13 Transformers</t>
  </si>
  <si>
    <t xml:space="preserve">P = P₀ + P_k (S ÷ S_r)²
E = P₀ h + P_k (S_peak ÷ S_r)² F_loss h; F_loss = 0.3 LF + 0.7 LF²
Parallel units: Σ P₀ + (S ÷ Σ S_r)² Σ P_k</t>
  </si>
  <si>
    <t>No-load and load losses from the nameplate or test certificate (Tier 1 maximum losses of EU Regulation 548/2014 when none is given). A lightly loaded unit of a parallel group can be switched off where the others carry the peak; at replacement, a right-sized low-loss unit. Savings count only when the site is metered on the medium-voltage side.</t>
  </si>
  <si>
    <t>6.14 HVAC schedules and set points</t>
  </si>
  <si>
    <t xml:space="preserve">Schedules: ΔE = E × r × (1 − a)
Set points: 1 − DD_new ÷ DD_now, or p × ΔT (about 3% per °C cooling)</t>
  </si>
  <si>
    <t>The HVAC model holds the air-conditioning and heating units (not IT or office equipment on the same node), so schedules and set points multiply. Hours cut and the pull-down allowance are assumed until a current log replaces them; the per-kelvin rules are tagged assumed and a site trial or degree-days replace them.</t>
  </si>
  <si>
    <t>6.15 Belt drives</t>
  </si>
  <si>
    <t xml:space="preserve">ΔE = E_motor × (1 − η_old ÷ η_new)
V-belt about 93% in service, cogged 95%, synchronous 98%</t>
  </si>
  <si>
    <t>A better belt passes more of the motor's output to the same load. Synchronous belts suit steady loads such as fans and pumps (check the speed: no slip means a little faster), cogged belts shock loads. Applied after a VSD on the same motor.</t>
  </si>
  <si>
    <t>6.16 Boiler efficiency from a flue-gas test</t>
  </si>
  <si>
    <t xml:space="preserve">Dry flue gas L_d = m_dry cp (T_flue − T_air) ÷ E; moisture L_m = m_water cp (T_flue − T_air) ÷ E (+ latent heat on the gross basis)
η = 1 − L_d − L_m − L_casing (casing 1.5% of input when not entered, assumed)
Direct: η = (S (h_g − h_fw) + B (h_f − h_fw)) ÷ fuel, B = S b ÷ (1 − b)
Agree when |η_direct − η_losses| ≤ 2 √(u_direct² + u_losses²)</t>
  </si>
  <si>
    <t>The losses method of BS 845-1, EN 12953-11 and ASME PTC 4 from a portable analyser's flue temperature and O₂ and the air temperature, with the flue products of the economiser module, on the same calorific-value basis as the fuel's bill. Where fuel and steam or feedwater were metered over one period the direct method checks it; a difference beyond their combined uncertainty points at a meter. The balance keeps the boiler's own efficiency until the auditor chooses the tested figure.</t>
  </si>
  <si>
    <t>6.17 Oven flue heat recovery</t>
  </si>
  <si>
    <t xml:space="preserve">Flue mass = fuel kWh × 3.6 ÷ LHV × flue products per kg of fuel (at the measured O₂)
Recovered = m × cp × (T_flue − T_exit) × ε × u; displaced fuel = recovered ÷ η_heater
Design kW = rated input × cp_fuel (T_flue − T_exit) ε ÷ LHV</t>
  </si>
  <si>
    <t>From one flue-gas test on the oven's burner flue and its fuel a year (the register, or a gas meter). Defaults are assumed: exit at the fuel's safe minimum plus 20 K, 60% of the heat above it recovered, 80% of that used while the oven fires, the displaced heater 80% efficient. Priced per kW of design recovery from the cost library; not netted against idle-firing or hot-water measures that overlap it. Applies to direct- and indirect-fired ovens alike: the exhaust stream is real.</t>
  </si>
  <si>
    <t>6.18 Compressor intake air</t>
  </si>
  <si>
    <t xml:space="preserve">Same air, same pressure ratio: power ∝ T_intake (kelvin)
Saving = plant energy × (1 − T_new ÷ T_now)</t>
  </si>
  <si>
    <t>Ducting the intakes to outside air cuts the work of compressing the same mass of air by about 1% for every 3 K cooler. A step on the compressed-air model, after the switch-off, pressure and leak measures. Defaults are assumed: intake now 30 °C, outside 18 °C, both annual averages (a week of logging set against the weather station replaces them). Priced per compressor.</t>
  </si>
  <si>
    <t>6.19 Hot surfaces and open tanks</t>
  </si>
  <si>
    <t xml:space="preserve">Flat surface: q = (h_c + h_r)(T_s − T_a); h_c = 1.31 ΔT^(1/3) vertical, 1.52 ΔT^(1/3) facing up
Insulated: k (T_hot − T_s) ÷ t = (h_c + h_r)(T_s − T_a)
Open water: q_e = (p_w − p_a)(0.089 + 0.0782 V) kW/m², p in kPa
Displaced = heat saved × hours ÷ heater efficiency</t>
  </si>
  <si>
    <t>Simplified free convection to air (Holman) and radiation for bare tank walls; evaporation from open hot water by the pool equation (ASHRAE; fitted to pools, to confirm on a hot tank), with the Magnus saturation pressure. Insulation and an insulated lid are solved for their jacket temperature. The heat saved comes off the heater: steam at the boiler's efficiency, an element at 100% or a burner at 80% (assumed unless entered). Inputs on the opportunity: areas, temperatures, hours, emissivity.</t>
  </si>
  <si>
    <t>6.20 Steam leaks</t>
  </si>
  <si>
    <t xml:space="preserve">Napier, as for traps: W (lb/h) = 24.24 × P (psia) × D² (in²)
Small 1.6 mm, medium 3.2 mm, large 6.4 mm hole</t>
  </si>
  <si>
    <t>Leaks counted by size class on the walk-round join the steam model's baseline (lost, never returned) and the balance at the trap-loss node, ±40% because the size is judged by eye. The repair is a step on the steam model after the traps, 10% back by the next walk-round (assumed), priced per leak.</t>
  </si>
  <si>
    <t>6.21 Blowdown</t>
  </si>
  <si>
    <t xml:space="preserve">b = TDS_feedwater ÷ TDS_boiler; b_new = b × TDS_now ÷ TDS_set
Recovered Q = B (h_f − c_p T_drain); make-up T_m + Q ÷ (M c_p); fuel saved = Q ÷ η</t>
  </si>
  <si>
    <t>Automatic TDS control holds the boiler water just under its limit, so the blowdown falls in proportion (defaults 2,000 ppm now, 3,000 ppm set point, assumed); the make-up water saved is a negative running cost. A flash vessel and a plate exchanger return the blowdown's heat to the make-up water (drain 10 K above the make-up, assumed). Both are steps on the steam model; the recovery comes last and works on the blowdown that is left.</t>
  </si>
  <si>
    <t>6.22 Stream-to-stream heat recovery</t>
  </si>
  <si>
    <t xml:space="preserve">C = ṁ c_p; Q = ε × C_min × (T_hot,in − T_cold,in)
Recovered a year = Q × coincident hours; displaced = recovered ÷ heater efficiency</t>
  </si>
  <si>
    <t>The effectiveness method for a plate exchanger between a hot stream to drain or cooling and a stream being heated. Inputs on the opportunity: both flows and inlet temperatures; defaults (assumed) water on both sides, ε 0.7, the site's operating hours. Priced per kW of duty; the pumps' electricity is not deducted.</t>
  </si>
  <si>
    <t>6.23 Desuperheater</t>
  </si>
  <si>
    <t xml:space="preserve">Condenser heat Q_c = E (1 + COP), COP = 0.5 × Carnot COP
Recovered = s × Q_c × u; displaced = recovered ÷ heater efficiency</t>
  </si>
  <si>
    <t>The compressors' hot discharge gas carries a share of the condenser heat as superheat (about 10-15%; 10% assumed, to confirm against the discharge temperature) that can preheat water; half of it is taken as meeting a coincident demand (assumed). A step on the refrigeration model, after the lift measures; the compressors' energy is unchanged and the water heater's fuel is saved.</t>
  </si>
  <si>
    <t>6.24 Burner tuning</t>
  </si>
  <si>
    <t xml:space="preserve">η = 1 − dry flue-gas loss − moisture loss (losses method) at today's and the target O₂
Fuel saved = F (1 − η_now ÷ η_tuned)</t>
  </si>
  <si>
    <t>From a flue-gas test on the burner's own flue (temperature and O₂), with the flue temperature held. Target O₂ (assumed, conservative for ovens; agree it with the burner's maker): LPG and natural gas 4%, diesel 5%, coal 7%, against US DOE's 10-20% excess air at high fire (about 2-3.5% O₂) and an Oregon State IAC report's 4% for natural-gas ovens. Only for indirect-fired ovens (the burner in its own firebox or radiant tubes, with its own flue): in a direct-fired oven the exhaust O₂ includes air drawn through the oven and would overstate the saving, so the measure does not apply (match the exhaust fan to the oven instead: about 5%, Carbon Trust CTS402); firing not recorded is quantified with a note to confirm it. Priced per burner with a yearly re-tune. Tuning leaves less flue gas, so a flue heat recovery on the same oven is worked out after it, on the fuel left and at the target O₂ (demo: 111.5 → 63.3 MWh), and the two do not overlap.</t>
  </si>
  <si>
    <t>6.25 End-of-life replacement</t>
  </si>
  <si>
    <t>E_new = E × COP_now ÷ COP_new (EER, or SEER, on the same basis)</t>
  </si>
  <si>
    <t>A step on the HVAC model for air-conditioning units and on the refrigeration model for chilled-water circuits. Defaults (assumed): splits EER 2.6 now and 3.6 new, chillers COP 2.8 and 3.8, until the nameplate and the maker's figure at the same rating conditions replace them. Priced per kW of cooling; where the units are due for replacement anyway, only the extra cost of the efficient unit belongs here (a quote).</t>
  </si>
  <si>
    <t>6.26 Daylight and delamping</t>
  </si>
  <si>
    <t xml:space="preserve">Daylight: f_on × (1 − r), r = 28% by default
Delamping: n_new = ⌈n × E_required × 1.25 ÷ E_measured⌉</t>
  </si>
  <si>
    <t>Daylight or photocell control saves 28% of the on-time on average (the LBNL meta-analysis) in daylit halls and stores and for outdoor lights on timers. Delamping takes fittings out of an area a lux survey finds over-lit, keeping a 25% margin over the level its task needs (from SANS 10114-1, to confirm). Both are steps on the lighting model, before the LED retrofit.</t>
  </si>
  <si>
    <t>7. Sequencing interacting measures</t>
  </si>
  <si>
    <t xml:space="preserve">Order: behaviour → controls → maintenance → retrofit → technology → heat recovery
Overlap removed = Σ savings on their own − Σ sequenced savings</t>
  </si>
  <si>
    <t>Measures on one system are applied in order, each on the state the earlier ones left (heat recovery last, because it recovers from what is left), as US DOE MEASUR does for compressed air. The direction of an interaction comes out of the model: fixing leaks first can leave a VSD trim compressor little to save. Systems without a model keep each measure's own saving with a warning; cross-system effects are noted, not netted. The Measures sheet holds the sequenced savings.</t>
  </si>
  <si>
    <t>8. EnPIs and baselines</t>
  </si>
  <si>
    <t xml:space="preserve">Intensity = kWh ÷ production (kWh/t) or ÷ floor area (kWh/m²)
Baseline: E = b₀ + Σ b_j x_j by least squares, β = (XᵀX)⁻¹ Xᵀ y
CV(RMSE) = 100 × √(Σ(y − ŷ)² ÷ (n − p)) ÷ ȳ;  NMBE = 100 × Σ(y − ŷ) ÷ ((n − p) ȳ)
Monthly data pass when CV(RMSE) ≤ 15% and |NMBE| ≤ 5%</t>
  </si>
  <si>
    <t>Regression baselines against the relevant variables (production, degree-days) follow ISO 50006:2023; the fit statistics and thresholds are ASHRAE Guideline 14-2014's. R² ≥ 0.75 is shown only as a rule of thumb. Non-routine adjustments (a new line, a long shutdown) are recorded and added to the baseline's prediction, as IPMVP and SANS 50010 require. The baselines are in the report (not on a sheet here).</t>
  </si>
  <si>
    <t>The report (EnPIs and baselines)</t>
  </si>
  <si>
    <t>9. Rates and the business case</t>
  </si>
  <si>
    <t xml:space="preserve">Energy rate = energy charges ÷ kWh; demand rate = demand charges ÷ billed kVA; capacity rate = capacity charges ÷ (NMD × months)
LCSE = (capex × CRF + Δopex) ÷ kWh saved;  CRF = r (1 + r)^n ÷ ((1 + r)^n − 1)
NPV, IRR and payback as set out under Conventions below</t>
  </si>
  <si>
    <t>Savings are priced at average rates from the latest 12 bills. An average energy rate suits a saving spread like the site's load; one in peak or off-peak hours is worth more or less. Energy savings claim no demand (kVA) saving unless the measure is a demand measure. The levelised cost of saved energy is the measure developed at LBNL (Meier; Hoffman et al., The Cost of Saving Electricity).</t>
  </si>
  <si>
    <t>9.1 Financing view (loan)</t>
  </si>
  <si>
    <t xml:space="preserve">CFADS_t = the portfolio's net saving in year t (0 past the longest life)
A = D × CRF(i, n);  interest_t = opening_t × i;  principal_t = A − interest_t
DSCR_t = CFADS_t ÷ A;  minimum and average over the tenor
A_max = max(0, min_t CFADS_t) ÷ DSCR_target;  D_max = A_max ÷ CRF(i, n);  D = min(share × capex, D_max)
Equity_0 = −(capex − D);  Equity_t = CF_t − A (t ≤ n), CF_t after</t>
  </si>
  <si>
    <t>What a bank's credit committee reads if a term loan pays for the measures: the loan the savings can carry, a level (annuity) repayment and the debt service cover ratio each year. With level payments the weakest year binds, so the loan is the smaller of the debt share and what the target cover allows. Lenders look at the minimum DSCR because a loan defaults in its worst year; the average is a second look (Yescombe). Defaults are assumed: 70% of capex, 11.5% nominal (prime-linked), 5 years, 1.30×. No tax, fees, grace period or reserve account.</t>
  </si>
  <si>
    <t>10. Screening ranges</t>
  </si>
  <si>
    <t>None: ranges flag what is worth a look and are never used in a measure's numbers</t>
  </si>
  <si>
    <t>Ranges, each with its source: compressed air savings up to a third (Carbon Trust); leakage 5-10% managed against 40-50% unmanaged (BCAS); steam systems 10-20% (DOE/NREL); motor systems 20-30% (IEA, 2011); IE-class upgrades a few percent of motor energy; occupancy sensing about 24% and daylighting about 28% (LBNL); refrigeration 2-4% per °C of lift (Carbon Trust).</t>
  </si>
  <si>
    <t>11. Data requests and better data</t>
  </si>
  <si>
    <t>Uncertainty removed = saving × (u_now − u_next)   (typical ± of the current and the next data level)</t>
  </si>
  <si>
    <t>The data request lists what to ask the client for, cumulative by level and limited to the systems the site type usually has. For each system, the studio shows what would raise it one level, which savings would firm up, and the opportunities still waiting for data, sorted by the rand a year of uncertainty removed.</t>
  </si>
  <si>
    <t>12. The demo site</t>
  </si>
  <si>
    <t>Monthly bills = base + kWh per tonne × production + kWh per degree-day × CDD + a fixed scatter</t>
  </si>
  <si>
    <t>Demo Foods (Pty) Ltd is fictional: every number is invented and listed with its assumption, and the bills are generated from stated formulas so they agree with the production and weather series. It applies only to the demonstration workbook.</t>
  </si>
  <si>
    <t>13. Version 1 simplifications</t>
  </si>
  <si>
    <t>Independent uncertainties, no Monte Carlo. Compressors of different sizes are averaged into identical units; receivers and pressure bands are not modelled. Steam: trap steam is taken as lost; flash steam and deaerator venting are not modelled. Refrigeration: a constant fraction of Carnot, no part-load or defrost interaction. Motors: full-load efficiencies. One carrier per balance point; several suppliers of one carrier share a node's estimate equally. Cross-system interactions are warned about, not netted; process heat has no model: flue heat recovery is worked out after burner tuning on the same oven, but hot surfaces, stream-to-stream recovery and idle firing are not netted against each other. Hot surfaces: flat surfaces in still air, evaporation by a pool correlation.</t>
  </si>
  <si>
    <t>14. Cost library</t>
  </si>
  <si>
    <t xml:space="preserve">Rate = value × installation factor × (1 + e)^(base year − price year)
Capex = Σ quantity × rate; u = (high − low) ÷ (2√3) per line, in quadrature</t>
  </si>
  <si>
    <t>Every capex and running cost is a quantity times a unit cost from the cost library. The defaults are assumed placeholder 2026 budget figures, to be replaced by supplier quotes. Strongest first: a quote on the opportunity, a rate typed on it, this project's price for the record, a survey figure, the placeholder. The lines are kept in each measure's provenance.</t>
  </si>
  <si>
    <t>15. Interval data (level 3)</t>
  </si>
  <si>
    <t xml:space="preserve">P = E × 60 ÷ Δt (kWh per interval to average kW), × the multiplier
E = Σ P Δt; load factor = P̄ ÷ P_max; annualised × 8 760 ÷ hours covered
Baseload = P5 of nights and weekends; after hours above it = Σ max(0, P − P_base) Δt outside operating hours
Peak shaving at T: Σ max(0, P − T) Δt; the worst day's energy and P_max − T</t>
  </si>
  <si>
    <t>Half-hourly or logged data per meter, read as confirmed (kW or kWh checked against the bills, the multiplier, start or end stamps, SAST) and put on a regular grid. Gaps stay gaps; short ones are interpolated only by a recorded, flagged rule. Load profile, load duration, time-of-use split on a default Eskom-style schedule to verify against the tariff book, peaks, monthly reconciliation with the bills and a daily baseline. A good year moves the systems it covers to level 3.</t>
  </si>
  <si>
    <t>16. Recirculation loops</t>
  </si>
  <si>
    <t xml:space="preserve">Condensate return: L = R × c_p × (T_c − T_m) ÷ 3 600   (kWh a year; above make-up water)
Boiler: in = fuel + L; out = steam + L + blowdown + flue loss
Steam mains: in = steam + L; out = users + traps + pipe loss + L
Feedwater already holds it: F × c_p × (T_fw − T_m) = R × c_p × (T_c − T_m)</t>
  </si>
  <si>
    <t>A link marked as recirculation (condensate return, recovered heat) carries energy back upstream and is drawn as a loop. Its energy comes from the steam model or the auditor's own figure, counted above make-up water so nothing is negative. It adds the same energy in and out of every node on its path, so no balance figure changes: the balance and this workbook give the once-through figures, and the diagram adds the loop to the links it rides on. The blowdown's share of the condensate's heat (b × L) stays in the steam, where the steam model counts it. Demo: 52.0 MWh a year from the steam mains back to the boiler.</t>
  </si>
  <si>
    <t>Sources the methods cite (pages and clauses to confirm against the reference library before a report quotes them)</t>
  </si>
  <si>
    <t>Used for</t>
  </si>
  <si>
    <t>Public page</t>
  </si>
  <si>
    <t>audit process, data collection, energy balance</t>
  </si>
  <si>
    <t>ISO 50002-1:2025, Energy audits, Part 1: general requirements</t>
  </si>
  <si>
    <t>https://www.iso.org/search.html?q=50002-1</t>
  </si>
  <si>
    <t>confirm clauses</t>
  </si>
  <si>
    <t>audit levels</t>
  </si>
  <si>
    <t>ASHRAE Standard 211-2018, Commercial Building Energy Audits</t>
  </si>
  <si>
    <t>https://www.ashrae.org/technical-resources/standards-and-guidelines</t>
  </si>
  <si>
    <t>confirm section</t>
  </si>
  <si>
    <t>regression baselines, relevant variables</t>
  </si>
  <si>
    <t>ISO 50006:2023, EnPIs and energy baselines</t>
  </si>
  <si>
    <t>https://www.iso.org/search.html?q=50006</t>
  </si>
  <si>
    <t>CV(RMSE), NMBE and their thresholds</t>
  </si>
  <si>
    <t>ASHRAE Guideline 14-2014, Measurement of Energy, Demand and Water Savings</t>
  </si>
  <si>
    <t>confirm section and table</t>
  </si>
  <si>
    <t>M&amp;V, non-routine adjustments</t>
  </si>
  <si>
    <t>EVO, IPMVP Core Concepts; SANS 50010</t>
  </si>
  <si>
    <t>https://evo-world.org/</t>
  </si>
  <si>
    <t>confirm edition</t>
  </si>
  <si>
    <t>10% end-use reconciliation benchmark</t>
  </si>
  <si>
    <t>LEED existing buildings (O+M) energy audit requirement</t>
  </si>
  <si>
    <t>https://www.usgbc.org/leed</t>
  </si>
  <si>
    <t>as summarised in the design spec; confirm</t>
  </si>
  <si>
    <t>80% within ±5% benchmark</t>
  </si>
  <si>
    <t>Australian Energy Efficiency Opportunities, assessment framework</t>
  </si>
  <si>
    <t>No public page: a printed or purchased source</t>
  </si>
  <si>
    <t>uncertainty propagation</t>
  </si>
  <si>
    <t>JCGM 100:2008 (GUM)</t>
  </si>
  <si>
    <t>https://www.bipm.org/en/committees/jc/jcgm/publications</t>
  </si>
  <si>
    <t>section 5.1</t>
  </si>
  <si>
    <t>net calorific values</t>
  </si>
  <si>
    <t>IPCC 2006 Guidelines, Vol. 2, ch. 1, Table 1.2</t>
  </si>
  <si>
    <t>https://www.ipcc-nggip.iges.or.jp/public/2006gl/</t>
  </si>
  <si>
    <t>confirm table values</t>
  </si>
  <si>
    <t>propane gross/net ratio</t>
  </si>
  <si>
    <t>NIST Chemistry WebBook</t>
  </si>
  <si>
    <t>https://webbook.nist.gov/chemistry/</t>
  </si>
  <si>
    <t>saturated steam properties</t>
  </si>
  <si>
    <t>IAPWS-IF97 (via standard steam tables)</t>
  </si>
  <si>
    <t>https://www.iapws.org/</t>
  </si>
  <si>
    <t>part-load curves, leak test, heat recovery</t>
  </si>
  <si>
    <t>US DOE / Compressed Air Challenge, Improving Compressed Air System Performance (sourcebook)</t>
  </si>
  <si>
    <t>https://www.compressedairchallenge.org/</t>
  </si>
  <si>
    <t>confirm edition and pages</t>
  </si>
  <si>
    <t>ordered evaluation of measures</t>
  </si>
  <si>
    <t>US DOE MEASUR</t>
  </si>
  <si>
    <t>screening ranges</t>
  </si>
  <si>
    <t>Carbon Trust compressed air and refrigeration guides</t>
  </si>
  <si>
    <t>https://www.carbontrust.com/</t>
  </si>
  <si>
    <t>leakage screening range</t>
  </si>
  <si>
    <t>British Compressed Air Society (BCAS)</t>
  </si>
  <si>
    <t>https://www.bcas.org.uk/</t>
  </si>
  <si>
    <t>confirm document</t>
  </si>
  <si>
    <t>trap and leak losses, steam system</t>
  </si>
  <si>
    <t>US DOE Steam Tip Sheet #1; DOE/NREL Improving Steam System Performance sourcebook</t>
  </si>
  <si>
    <t>confirm pages</t>
  </si>
  <si>
    <t>simplified free-convection correlation</t>
  </si>
  <si>
    <t>J. P. Holman, Heat Transfer</t>
  </si>
  <si>
    <t>confirm edition and table</t>
  </si>
  <si>
    <t>IE minimum efficiencies</t>
  </si>
  <si>
    <t>IEC 60034-30-1:2014; Regulation (EU) 2019/1781, Annex I</t>
  </si>
  <si>
    <t>https://eur-lex.europa.eu/eli/reg/2019/1781/oj</t>
  </si>
  <si>
    <t>check the table values before client use</t>
  </si>
  <si>
    <t>motor-system screening range</t>
  </si>
  <si>
    <t>IEA (2011), Energy-Efficiency Policy Opportunities for Electric Motor-Driven Systems</t>
  </si>
  <si>
    <t>https://www.iea.org/</t>
  </si>
  <si>
    <t>confirm page</t>
  </si>
  <si>
    <t>occupancy-sensor and daylighting savings</t>
  </si>
  <si>
    <t>Williams et al. (2012), Lighting Controls in Commercial Buildings, LEUKOS 8(3)</t>
  </si>
  <si>
    <t>cost of saved energy</t>
  </si>
  <si>
    <t>LBNL: Meier (1982); Hoffman et al., The Cost of Saving Electricity</t>
  </si>
  <si>
    <t>https://emp.lbl.gov/</t>
  </si>
  <si>
    <t>heat pump COP test conditions (the maker's data)</t>
  </si>
  <si>
    <t>EN 14511; EN 16147</t>
  </si>
  <si>
    <t>https://standards.cencenelec.eu/</t>
  </si>
  <si>
    <t>confirm editions</t>
  </si>
  <si>
    <t>stoichiometric air and flue-gas products</t>
  </si>
  <si>
    <t>Babcock &amp; Wilcox, Steam: Its Generation and Use (combustion calculations)</t>
  </si>
  <si>
    <t>https://www.babcock.com/</t>
  </si>
  <si>
    <t>confirm edition and chapter</t>
  </si>
  <si>
    <t>O₂ to excess air, minimum flue exit, economiser screening range</t>
  </si>
  <si>
    <t>US DOE Steam Tip Sheets #3 (feedwater economizers) and #4 (combustion efficiency)</t>
  </si>
  <si>
    <t>https://www.energy.gov/</t>
  </si>
  <si>
    <t>confirm</t>
  </si>
  <si>
    <t>ideal-gas cp of flue products</t>
  </si>
  <si>
    <t>Çengel and Boles, Thermodynamics: An Engineering Approach, Table A-2(b); NIST Chemistry WebBook</t>
  </si>
  <si>
    <t>confirm values</t>
  </si>
  <si>
    <t>boiler efficiency by losses and by input and output, casing loss</t>
  </si>
  <si>
    <t>BS 845-1; EN 12953-11; ASME PTC 4, Fired Steam Generators</t>
  </si>
  <si>
    <t>https://www.asme.org/codes-standards</t>
  </si>
  <si>
    <t>confirm editions and clauses</t>
  </si>
  <si>
    <t>independent check of the flue-gas losses (tests)</t>
  </si>
  <si>
    <t>Siegert's flue-gas loss formula, as in Germany's 1. BImSchV, Annex III</t>
  </si>
  <si>
    <t>confirm coefficients</t>
  </si>
  <si>
    <t>coverage factor 2 for the two efficiency methods' agreement</t>
  </si>
  <si>
    <t>JCGM 100:2008 (GUM), 6.3</t>
  </si>
  <si>
    <t>recoverable heat 80-93% × 50-90%</t>
  </si>
  <si>
    <t>US DOE / Compressed Air Challenge sourcebook, "Heat Recovery with Compressed Air Systems"</t>
  </si>
  <si>
    <t>pump and system curves, affinity laws</t>
  </si>
  <si>
    <t>Hydraulic Institute and Europump, Variable Speed Pumping (2004); US DOE Improving Pumping System Performance (2006)</t>
  </si>
  <si>
    <t>https://www.pumps.org/</t>
  </si>
  <si>
    <t>transformer loss factor</t>
  </si>
  <si>
    <t>T. Gönen, Electric Power Distribution Engineering (Buller and Woodrow loss factor)</t>
  </si>
  <si>
    <t>confirm edition and page</t>
  </si>
  <si>
    <t>Tier 1 transformer losses</t>
  </si>
  <si>
    <t>Commission Regulation (EU) No 548/2014, Annex I, Table I.1</t>
  </si>
  <si>
    <t>https://eur-lex.europa.eu/eli/reg/2014/548/oj</t>
  </si>
  <si>
    <t>check the values before client use</t>
  </si>
  <si>
    <t>about 3% per °C of cooling set point</t>
  </si>
  <si>
    <t>Hong Kong EMSD indoor set-point guidance</t>
  </si>
  <si>
    <t>up to about 8% per °C of heating set point</t>
  </si>
  <si>
    <t>Carbon Trust heating guidance</t>
  </si>
  <si>
    <t>degree-day method</t>
  </si>
  <si>
    <t>ASHRAE Handbook, Fundamentals, energy-estimating chapter</t>
  </si>
  <si>
    <t>https://www.ashrae.org/technical-resources/ashrae-handbook</t>
  </si>
  <si>
    <t>V-belt, cogged and synchronous belt efficiencies</t>
  </si>
  <si>
    <t>US DOE Motor Systems Tip Sheet #5</t>
  </si>
  <si>
    <t>compressor power and intake temperature</t>
  </si>
  <si>
    <t>G. F. C. Rogers and Y. R. Mayhew, Engineering Thermodynamics: Work and Heat Transfer (compression work)</t>
  </si>
  <si>
    <t>evaporation from open hot water</t>
  </si>
  <si>
    <t>ASHRAE Handbook, HVAC Applications, natatorium chapter (Carrier's evaporation equation)</t>
  </si>
  <si>
    <t>confirm edition and page; fitted to pools</t>
  </si>
  <si>
    <t>saturation vapour pressure</t>
  </si>
  <si>
    <t>Alduchov and Eskridge (1996), Improved Magnus form approximation of saturation vapor pressure, J. Applied Meteorology 35(4)</t>
  </si>
  <si>
    <t>blowdown from TDS, blowdown heat recovery</t>
  </si>
  <si>
    <t>US DOE Steam Tip Sheets #9 (Minimize Boiler Blowdown) and #10 (Recover Heat from Boiler Blowdown)</t>
  </si>
  <si>
    <t>boiler-water limits behind the TDS set point</t>
  </si>
  <si>
    <t>EN 12953-10, Shell boilers: feedwater and boiler water quality</t>
  </si>
  <si>
    <t>stream-to-stream heat recovery</t>
  </si>
  <si>
    <t>Incropera and DeWitt, Fundamentals of Heat and Mass Transfer (effectiveness method)</t>
  </si>
  <si>
    <t>desuperheat share of the condenser heat, about 10-15%</t>
  </si>
  <si>
    <t>ASHRAE Handbook, Refrigeration (heat reclaim)</t>
  </si>
  <si>
    <t>confirm chapter, edition and figure</t>
  </si>
  <si>
    <t>about 10-20% excess air (2-3.5% O₂) at high fire for furnaces and ovens; burner tuning target O₂</t>
  </si>
  <si>
    <t>US DOE Process Heating Tip Sheet #2, Check Burner Air to Fuel Ratios</t>
  </si>
  <si>
    <t>https://www.osti.gov/biblio/920937</t>
  </si>
  <si>
    <t>natural-gas ovens tuned yearly to about 4% O₂; burner tuning target O₂</t>
  </si>
  <si>
    <t>Oregon State University Industrial Assessment Center, assessment report OR0702 (oven tuning and recirculation)</t>
  </si>
  <si>
    <t>direct-fired ovens: flue losses about 20% of gas use, exhaust fans matched to the oven gases about 4.7% (1-5 year payback)</t>
  </si>
  <si>
    <t>Carbon Trust CTS402, Improving the efficiency of bakery ovens</t>
  </si>
  <si>
    <t>EER and COP at rating conditions (end-of-life replacement)</t>
  </si>
  <si>
    <t>ISO 5151; AHRI 550/590</t>
  </si>
  <si>
    <t>https://www.iso.org/search.html?q=5151</t>
  </si>
  <si>
    <t>light levels by area (delamping)</t>
  </si>
  <si>
    <t>SANS 10114-1, Interior lighting</t>
  </si>
  <si>
    <t>confirm the table values</t>
  </si>
  <si>
    <t>rectangular range to standard uncertainty (cost ranges)</t>
  </si>
  <si>
    <t>JCGM 100:2008 (GUM), 4.3.7</t>
  </si>
  <si>
    <t>public holidays and the Sunday rule</t>
  </si>
  <si>
    <t>Public Holidays Act 36 of 1994 (South Africa)</t>
  </si>
  <si>
    <t>the default TOU schedule, shipped labelled "verify against the current Eskom tariff book"</t>
  </si>
  <si>
    <t>Eskom tariff book (Megaflex time-of-use periods)</t>
  </si>
  <si>
    <t>confirm the current periods and holiday rules</t>
  </si>
  <si>
    <t>default limits for the daily baseline</t>
  </si>
  <si>
    <t>ASHRAE Guideline 14-2014 (hourly calibration limits)</t>
  </si>
  <si>
    <t>https://www.ashrae.org/</t>
  </si>
  <si>
    <t>spike test (median and scaled MAD)</t>
  </si>
  <si>
    <t>Hampel (1974), the influence curve; Pearson (2002) on the Hampel filter</t>
  </si>
  <si>
    <t>percentiles</t>
  </si>
  <si>
    <t>Hyndman and Fan (1996), Sample quantiles in statistical packages (type 7)</t>
  </si>
  <si>
    <t>heat in returned condensate above make-up water</t>
  </si>
  <si>
    <t>US DOE Steam Tip Sheet #8, Return Condensate to the Boiler</t>
  </si>
  <si>
    <t>steady-flow energy balance and its reference state (the loops)</t>
  </si>
  <si>
    <t>Çengel and Boles, Thermodynamics: An Engineering Approach, chapter 5 (mass and energy analysis of control volumes)</t>
  </si>
  <si>
    <t>cover ratios (DSCR, minimum and average), debt sizing to a target cover, annuity repayment</t>
  </si>
  <si>
    <t>E. R. Yescombe, Principles of Project Finance, 2nd edition (Academic Press, 2014)</t>
  </si>
  <si>
    <t>confirm chapter and pages</t>
  </si>
  <si>
    <t>annuity debt sized by the weakest year's cover, as in the debt-sizing tool</t>
  </si>
  <si>
    <t>Edward Bodmer, project finance debt sizing and sculpting (edbodmer.com)</t>
  </si>
  <si>
    <t>https://edbodmer.com/sculpting-course/</t>
  </si>
  <si>
    <t>Public pages are the publishers' own; standards are sold by their publishers, so the page is where to buy or find the edition cited.</t>
  </si>
  <si>
    <t>Conventions in this workbook (the same as the studio's business case)</t>
  </si>
  <si>
    <t>Money is nominal rand. Cash flows are annual and at the end of each year; year 0 is now and is not discounted.</t>
  </si>
  <si>
    <t>CF0 = −capex. CFt = S × (1 − d)^(t−1) × (1 + e)^(t−1) − O × (1 + e)^(t−1) for t = 1 to n, then 0: S is the year-1 rand saving, d its yearly decay, e the escalation, O the year-1 change in running costs.</t>
  </si>
  <si>
    <t>n is the measure's life rounded to whole years (1 to 60). Savings start in year 1 whatever the time to implement, and stop at the end of the life; nothing is replaced.</t>
  </si>
  <si>
    <t>NPV = CF0 + NPV(r, CF1:CFn). The spreadsheet's NPV discounts its first value by one year, so year 0 is added outside it.</t>
  </si>
  <si>
    <t>IRR is the spreadsheet's IRR from its 10% starting guess; the studio takes the root nearest 10%. Where a cash flow has more than one IRR the Portfolio sheet says so: read the NPV.</t>
  </si>
  <si>
    <t>Simple payback = capex ÷ year-1 net saving (n/a when the net saving is not positive).</t>
  </si>
  <si>
    <t>Levelised cost of saved energy (LCSE) = (capex × CRF(r, n) + Δopex) ÷ kWh saved a year, with CRF = r(1 + r)^n ÷ ((1 + r)^n − 1), or 1/n at r = 0. The portfolio figure is the kWh-weighted LCSE of the measures on the cost curve.</t>
  </si>
  <si>
    <t>The cost curve (MACC) sorts the measures that save kWh by LCSE, cheapest first; bar width is the kWh saved a year. Measures that save no kWh (demand or capacity charges only) sit outside it.</t>
  </si>
  <si>
    <t>Measures on one system are sequenced by the studio, so their savings do not overlap; the workbook takes the sequenced figures.</t>
  </si>
  <si>
    <t>Each number carries a tag: measured, calculated, estimated or assumed. A result is only as good as its weakest input.</t>
  </si>
  <si>
    <t>Demo Foods (Pty) Ltd is fictional; nothing in this workbook comes from a real company, client or employer.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</si>
</sst>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5">
    <numFmt numFmtId="164" formatCode="&quot;R &quot;#,##0;[Red]-&quot;R &quot;#,##0;&quot;R &quot;0"/>
    <numFmt numFmtId="165" formatCode="#,##0&quot; kWh&quot;;[Red]-#,##0&quot; kWh&quot;;0&quot; kWh&quot;"/>
    <numFmt numFmtId="166" formatCode="0.0%"/>
    <numFmt numFmtId="167" formatCode="&quot;R &quot;0.000;[Red]-&quot;R &quot;0.000;&quot;R &quot;0.000"/>
    <numFmt numFmtId="168" formatCode="0.0"/>
    <numFmt numFmtId="169" formatCode="&quot;R &quot;0.00;[Red]-&quot;R &quot;0.00;&quot;R &quot;0.00"/>
    <numFmt numFmtId="170" formatCode="0.0000"/>
    <numFmt numFmtId="171" formatCode="#,##0.##"/>
    <numFmt numFmtId="172" formatCode="#,##0.0&quot; kVA&quot;"/>
    <numFmt numFmtId="173" formatCode="&quot;R &quot;#,##0.00;[Red]-&quot;R &quot;#,##0.00;&quot;R &quot;0.00"/>
    <numFmt numFmtId="174" formatCode="0.000"/>
    <numFmt numFmtId="175" formatCode="#,##0.000"/>
    <numFmt numFmtId="176" formatCode="0.#"/>
    <numFmt numFmtId="177" formatCode="&quot;Year &quot;0"/>
    <numFmt numFmtId="178" formatCode="0.00&quot;×&quot;"/>
  </numFmts>
  <fonts count="24" x14ac:knownFonts="1">
    <font>
      <color theme="1"/>
      <family val="2"/>
      <scheme val="minor"/>
      <sz val="11"/>
      <name val="Calibri"/>
    </font>
    <font>
      <b/>
      <color rgb="FF0F1720"/>
      <sz val="24"/>
      <name val="Georgia"/>
    </font>
    <font>
      <i/>
      <color rgb="FF59616C"/>
      <sz val="10"/>
      <name val="Arial"/>
    </font>
    <font>
      <b/>
      <color rgb="FF1A4C9C"/>
      <sz val="15"/>
      <name val="Georgia"/>
    </font>
    <font>
      <b/>
      <color rgb="FFB42318"/>
      <sz val="11"/>
      <name val="Arial"/>
    </font>
    <font>
      <b/>
      <color rgb="FF1A4C9C"/>
      <sz val="11"/>
      <name val="Arial"/>
    </font>
    <font>
      <b/>
      <color rgb="FF0F1720"/>
      <sz val="10"/>
      <name val="Arial"/>
    </font>
    <font>
      <color rgb="FF0F1720"/>
      <sz val="10"/>
      <name val="Arial"/>
    </font>
    <font>
      <b/>
      <color rgb="FFFFFFFF"/>
      <sz val="9"/>
      <name val="Arial"/>
    </font>
    <font>
      <color rgb="FF3A434F"/>
      <sz val="10"/>
      <name val="Arial"/>
    </font>
    <font>
      <i/>
      <color rgb="FF59616C"/>
      <sz val="9"/>
      <name val="Arial"/>
    </font>
    <font>
      <color rgb="FF1A4C9C"/>
      <sz val="10"/>
      <name val="Arial"/>
    </font>
    <font>
      <color rgb="FF11694A"/>
      <sz val="10"/>
      <name val="Arial"/>
    </font>
    <font>
      <i/>
      <color rgb="FF3A434F"/>
      <sz val="10"/>
      <name val="Arial"/>
    </font>
    <font>
      <b/>
      <color rgb="FF11694A"/>
      <sz val="9"/>
      <name val="Arial"/>
    </font>
    <font>
      <b/>
      <color rgb="FF1A4C9C"/>
      <sz val="9"/>
      <name val="Arial"/>
    </font>
    <font>
      <b/>
      <color rgb="FF7A4F08"/>
      <sz val="9"/>
      <name val="Arial"/>
    </font>
    <font>
      <b/>
      <color rgb="FFB42318"/>
      <sz val="9"/>
      <name val="Arial"/>
    </font>
    <font>
      <u/>
      <color rgb="FF1A4C9C"/>
      <sz val="10"/>
      <name val="Arial"/>
    </font>
    <font>
      <color rgb="FF3A434F"/>
      <sz val="9"/>
      <name val="Arial"/>
    </font>
    <font>
      <b/>
      <color rgb="FF0F1720"/>
      <sz val="18"/>
      <name val="Georgia"/>
    </font>
    <font>
      <b/>
      <color rgb="FFB42318"/>
      <sz val="10"/>
      <name val="Arial"/>
    </font>
    <font>
      <b/>
      <color rgb="FF0F1720"/>
      <sz val="9"/>
      <name val="Arial"/>
    </font>
    <font>
      <u/>
      <color rgb="FF1A4C9C"/>
      <sz val="9"/>
      <name val="Arial"/>
    </font>
  </fonts>
  <fills count="8">
    <fill>
      <patternFill patternType="none"/>
    </fill>
    <fill>
      <patternFill patternType="gray125"/>
    </fill>
    <fill>
      <patternFill patternType="solid">
        <fgColor rgb="FFE7EDF7"/>
      </patternFill>
    </fill>
    <fill>
      <patternFill patternType="solid">
        <fgColor rgb="FFE2F1EA"/>
      </patternFill>
    </fill>
    <fill>
      <patternFill patternType="solid">
        <fgColor rgb="FF1A4C9C"/>
      </patternFill>
    </fill>
    <fill>
      <patternFill patternType="solid">
        <fgColor rgb="FFFBF3E4"/>
      </patternFill>
    </fill>
    <fill>
      <patternFill patternType="solid">
        <fgColor rgb="FFEFEDE6"/>
      </patternFill>
    </fill>
    <fill>
      <patternFill patternType="solid">
        <fgColor rgb="FFFBE9E7"/>
      </patternFill>
    </fill>
  </fills>
  <borders count="5">
    <border>
      <left/>
      <right/>
      <top/>
      <bottom/>
      <diagonal/>
    </border>
    <border>
      <left style="hair">
        <color rgb="FFDCD8CE"/>
      </left>
      <right style="hair">
        <color rgb="FFDCD8CE"/>
      </right>
      <top style="hair">
        <color rgb="FFDCD8CE"/>
      </top>
      <bottom style="hair">
        <color rgb="FFDCD8CE"/>
      </bottom>
      <diagonal/>
    </border>
    <border>
      <left style="thin">
        <color rgb="FFDCD8CE"/>
      </left>
      <right style="thin">
        <color rgb="FFDCD8CE"/>
      </right>
      <top style="thin">
        <color rgb="FFDCD8CE"/>
      </top>
      <bottom style="thin">
        <color rgb="FFDCD8CE"/>
      </bottom>
      <diagonal/>
    </border>
    <border>
      <left style="thin">
        <color rgb="FF123874"/>
      </left>
      <right style="thin">
        <color rgb="FF123874"/>
      </right>
      <top style="thin">
        <color rgb="FF123874"/>
      </top>
      <bottom style="thin">
        <color rgb="FF123874"/>
      </bottom>
      <diagonal/>
    </border>
    <border>
      <left style="thin">
        <color rgb="FFE6D3AD"/>
      </left>
      <right style="thin">
        <color rgb="FFE6D3AD"/>
      </right>
      <top style="thin">
        <color rgb="FFE6D3AD"/>
      </top>
      <bottom style="thin">
        <color rgb="FFE6D3AD"/>
      </bottom>
      <diagonal/>
    </border>
  </borders>
  <cellStyleXfs count="1">
    <xf numFmtId="0" fontId="0" fillId="0" borderId="0"/>
  </cellStyleXfs>
  <cellXfs count="101">
    <xf numFmtId="0" fontId="0" fillId="0" borderId="0" xfId="0"/>
    <xf numFmtId="0" fontId="1" fillId="0" borderId="0" xfId="0" applyFont="1" applyAlignment="1">
      <alignment vertical="top"/>
    </xf>
    <xf numFmtId="0" fontId="2" fillId="0" borderId="0" xfId="0" applyFont="1" applyAlignment="1">
      <alignment vertical="top"/>
    </xf>
    <xf numFmtId="0" fontId="3" fillId="0" borderId="0" xfId="0" applyFont="1" applyAlignment="1">
      <alignment vertical="top"/>
    </xf>
    <xf numFmtId="0" fontId="4" fillId="0" borderId="0" xfId="0" applyFont="1" applyAlignment="1">
      <alignment vertical="top"/>
    </xf>
    <xf numFmtId="0" fontId="5" fillId="2" borderId="0" xfId="0" applyFont="1" applyFill="1"/>
    <xf numFmtId="0" fontId="6" fillId="0" borderId="1" xfId="0" applyFont="1" applyBorder="1" applyAlignment="1">
      <alignment horizontal="left" vertical="top"/>
    </xf>
    <xf numFmtId="0" fontId="7" fillId="0" borderId="1" xfId="0" applyFont="1" applyBorder="1" applyAlignment="1">
      <alignment horizontal="left" vertical="top"/>
    </xf>
    <xf numFmtId="1" fontId="6" fillId="3" borderId="2" xfId="0" applyNumberFormat="1" applyFont="1" applyFill="1" applyBorder="1" applyAlignment="1">
      <alignment horizontal="right" vertical="top"/>
    </xf>
    <xf numFmtId="164" fontId="6" fillId="3" borderId="2" xfId="0" applyNumberFormat="1" applyFont="1" applyFill="1" applyBorder="1" applyAlignment="1">
      <alignment horizontal="right" vertical="top"/>
    </xf>
    <xf numFmtId="165" fontId="6" fillId="3" borderId="2" xfId="0" applyNumberFormat="1" applyFont="1" applyFill="1" applyBorder="1" applyAlignment="1">
      <alignment horizontal="right" vertical="top"/>
    </xf>
    <xf numFmtId="2" fontId="6" fillId="3" borderId="2" xfId="0" applyNumberFormat="1" applyFont="1" applyFill="1" applyBorder="1" applyAlignment="1">
      <alignment horizontal="right" vertical="top"/>
    </xf>
    <xf numFmtId="166" fontId="6" fillId="3" borderId="2" xfId="0" applyNumberFormat="1" applyFont="1" applyFill="1" applyBorder="1" applyAlignment="1">
      <alignment horizontal="right" vertical="top"/>
    </xf>
    <xf numFmtId="167" fontId="6" fillId="3" borderId="2" xfId="0" applyNumberFormat="1" applyFont="1" applyFill="1" applyBorder="1" applyAlignment="1">
      <alignment horizontal="right" vertical="top"/>
    </xf>
    <xf numFmtId="0" fontId="6" fillId="3" borderId="2" xfId="0" applyFont="1" applyFill="1" applyBorder="1" applyAlignment="1">
      <alignment horizontal="right" vertical="top"/>
    </xf>
    <xf numFmtId="0" fontId="8" fillId="4" borderId="3" xfId="0" applyFont="1" applyFill="1" applyBorder="1" applyAlignment="1">
      <alignment horizontal="left" vertical="center" wrapText="1"/>
    </xf>
    <xf numFmtId="0" fontId="8" fillId="4" borderId="3" xfId="0" applyFont="1" applyFill="1" applyBorder="1" applyAlignment="1">
      <alignment horizontal="center" vertical="center" wrapText="1"/>
    </xf>
    <xf numFmtId="0" fontId="9" fillId="0" borderId="0" xfId="0" applyFont="1" applyAlignment="1">
      <alignment horizontal="left" vertical="top"/>
    </xf>
    <xf numFmtId="0" fontId="10" fillId="0" borderId="0" xfId="0" applyFont="1" applyAlignment="1">
      <alignment vertical="top"/>
    </xf>
    <xf numFmtId="0" fontId="11" fillId="5" borderId="4" xfId="0" applyFont="1" applyFill="1" applyBorder="1" applyAlignment="1">
      <alignment horizontal="center" vertical="top"/>
    </xf>
    <xf numFmtId="0" fontId="7" fillId="0" borderId="1" xfId="0" applyFont="1" applyBorder="1" applyAlignment="1">
      <alignment horizontal="center" vertical="top"/>
    </xf>
    <xf numFmtId="0" fontId="12" fillId="0" borderId="1" xfId="0" applyFont="1" applyBorder="1" applyAlignment="1">
      <alignment horizontal="center" vertical="top"/>
    </xf>
    <xf numFmtId="0" fontId="13" fillId="6" borderId="1" xfId="0" applyFont="1" applyFill="1" applyBorder="1" applyAlignment="1">
      <alignment horizontal="center" vertical="top"/>
    </xf>
    <xf numFmtId="0" fontId="6" fillId="3" borderId="2" xfId="0" applyFont="1" applyFill="1" applyBorder="1" applyAlignment="1">
      <alignment horizontal="center" vertical="top"/>
    </xf>
    <xf numFmtId="0" fontId="14" fillId="3" borderId="1" xfId="0" applyFont="1" applyFill="1" applyBorder="1" applyAlignment="1">
      <alignment horizontal="center" vertical="top"/>
    </xf>
    <xf numFmtId="0" fontId="15" fillId="2" borderId="1" xfId="0" applyFont="1" applyFill="1" applyBorder="1" applyAlignment="1">
      <alignment horizontal="center" vertical="top"/>
    </xf>
    <xf numFmtId="0" fontId="16" fillId="5" borderId="1" xfId="0" applyFont="1" applyFill="1" applyBorder="1" applyAlignment="1">
      <alignment horizontal="center" vertical="top"/>
    </xf>
    <xf numFmtId="0" fontId="17" fillId="7" borderId="1" xfId="0" applyFont="1" applyFill="1" applyBorder="1" applyAlignment="1">
      <alignment horizontal="center" vertical="top"/>
    </xf>
    <xf numFmtId="0" fontId="18" fillId="0" borderId="0" xfId="0" applyFont="1" applyAlignment="1">
      <alignment vertical="top"/>
    </xf>
    <xf numFmtId="0" fontId="9" fillId="0" borderId="0" xfId="0" applyFont="1" applyAlignment="1">
      <alignment horizontal="left" vertical="top" wrapText="1"/>
    </xf>
    <xf numFmtId="0" fontId="19" fillId="0" borderId="0" xfId="0" applyFont="1" applyAlignment="1">
      <alignment vertical="top" wrapText="1"/>
    </xf>
    <xf numFmtId="0" fontId="20" fillId="0" borderId="0" xfId="0" applyFont="1"/>
    <xf numFmtId="0" fontId="2" fillId="0" borderId="0" xfId="0" applyFont="1"/>
    <xf numFmtId="0" fontId="21" fillId="0" borderId="0" xfId="0" applyFont="1"/>
    <xf numFmtId="10" fontId="11" fillId="5" borderId="4" xfId="0" applyNumberFormat="1" applyFont="1" applyFill="1" applyBorder="1" applyAlignment="1">
      <alignment vertical="top"/>
    </xf>
    <xf numFmtId="1" fontId="12" fillId="0" borderId="1" xfId="0" applyNumberFormat="1" applyFont="1" applyBorder="1" applyAlignment="1">
      <alignment vertical="top"/>
    </xf>
    <xf numFmtId="1" fontId="13" fillId="6" borderId="1" xfId="0" applyNumberFormat="1" applyFont="1" applyFill="1" applyBorder="1" applyAlignment="1">
      <alignment vertical="top"/>
    </xf>
    <xf numFmtId="0" fontId="6" fillId="0" borderId="2" xfId="0" applyFont="1" applyBorder="1" applyAlignment="1">
      <alignment horizontal="center" vertical="top"/>
    </xf>
    <xf numFmtId="167" fontId="12" fillId="0" borderId="1" xfId="0" applyNumberFormat="1" applyFont="1" applyBorder="1" applyAlignment="1">
      <alignment vertical="top"/>
    </xf>
    <xf numFmtId="168" fontId="13" fillId="6" borderId="1" xfId="0" applyNumberFormat="1" applyFont="1" applyFill="1" applyBorder="1" applyAlignment="1">
      <alignment vertical="top"/>
    </xf>
    <xf numFmtId="169" fontId="12" fillId="0" borderId="1" xfId="0" applyNumberFormat="1" applyFont="1" applyBorder="1" applyAlignment="1">
      <alignment vertical="top"/>
    </xf>
    <xf numFmtId="166" fontId="11" fillId="5" borderId="4" xfId="0" applyNumberFormat="1" applyFont="1" applyFill="1" applyBorder="1" applyAlignment="1">
      <alignment vertical="top"/>
    </xf>
    <xf numFmtId="0" fontId="9" fillId="0" borderId="0" xfId="0" applyFont="1" applyAlignment="1">
      <alignment horizontal="center" vertical="top"/>
    </xf>
    <xf numFmtId="0" fontId="7" fillId="0" borderId="1" xfId="0" applyFont="1" applyBorder="1" applyAlignment="1">
      <alignment horizontal="left" vertical="top" wrapText="1"/>
    </xf>
    <xf numFmtId="0" fontId="7" fillId="0" borderId="1" xfId="0" applyFont="1" applyBorder="1" applyAlignment="1">
      <alignment horizontal="right" vertical="top"/>
    </xf>
    <xf numFmtId="170" fontId="11" fillId="5" borderId="4" xfId="0" applyNumberFormat="1" applyFont="1" applyFill="1" applyBorder="1" applyAlignment="1">
      <alignment vertical="top"/>
    </xf>
    <xf numFmtId="1" fontId="7" fillId="0" borderId="1" xfId="0" applyNumberFormat="1" applyFont="1" applyBorder="1" applyAlignment="1">
      <alignment vertical="top"/>
    </xf>
    <xf numFmtId="171" fontId="7" fillId="0" borderId="1" xfId="0" applyNumberFormat="1" applyFont="1" applyBorder="1" applyAlignment="1">
      <alignment vertical="top"/>
    </xf>
    <xf numFmtId="170" fontId="7" fillId="0" borderId="1" xfId="0" applyNumberFormat="1" applyFont="1" applyBorder="1" applyAlignment="1">
      <alignment vertical="top"/>
    </xf>
    <xf numFmtId="165" fontId="6" fillId="0" borderId="1" xfId="0" applyNumberFormat="1" applyFont="1" applyBorder="1" applyAlignment="1">
      <alignment vertical="top"/>
    </xf>
    <xf numFmtId="164" fontId="7" fillId="0" borderId="1" xfId="0" applyNumberFormat="1" applyFont="1" applyBorder="1" applyAlignment="1">
      <alignment vertical="top"/>
    </xf>
    <xf numFmtId="165" fontId="7" fillId="0" borderId="1" xfId="0" applyNumberFormat="1" applyFont="1" applyBorder="1" applyAlignment="1">
      <alignment vertical="top"/>
    </xf>
    <xf numFmtId="167" fontId="6" fillId="0" borderId="1" xfId="0" applyNumberFormat="1" applyFont="1" applyBorder="1" applyAlignment="1">
      <alignment vertical="top"/>
    </xf>
    <xf numFmtId="172" fontId="7" fillId="0" borderId="1" xfId="0" applyNumberFormat="1" applyFont="1" applyBorder="1" applyAlignment="1">
      <alignment vertical="top"/>
    </xf>
    <xf numFmtId="169" fontId="7" fillId="0" borderId="1" xfId="0" applyNumberFormat="1" applyFont="1" applyBorder="1" applyAlignment="1">
      <alignment vertical="top"/>
    </xf>
    <xf numFmtId="3" fontId="11" fillId="5" borderId="4" xfId="0" applyNumberFormat="1" applyFont="1" applyFill="1" applyBorder="1" applyAlignment="1">
      <alignment vertical="top"/>
    </xf>
    <xf numFmtId="171" fontId="11" fillId="5" borderId="4" xfId="0" applyNumberFormat="1" applyFont="1" applyFill="1" applyBorder="1" applyAlignment="1">
      <alignment vertical="top"/>
    </xf>
    <xf numFmtId="173" fontId="11" fillId="5" borderId="4" xfId="0" applyNumberFormat="1" applyFont="1" applyFill="1" applyBorder="1" applyAlignment="1">
      <alignment vertical="top"/>
    </xf>
    <xf numFmtId="174" fontId="7" fillId="0" borderId="1" xfId="0" applyNumberFormat="1" applyFont="1" applyBorder="1" applyAlignment="1">
      <alignment horizontal="right" vertical="top"/>
    </xf>
    <xf numFmtId="1" fontId="13" fillId="6" borderId="1" xfId="0" applyNumberFormat="1" applyFont="1" applyFill="1" applyBorder="1" applyAlignment="1">
      <alignment horizontal="center" vertical="top"/>
    </xf>
    <xf numFmtId="175" fontId="11" fillId="5" borderId="4" xfId="0" applyNumberFormat="1" applyFont="1" applyFill="1" applyBorder="1" applyAlignment="1">
      <alignment vertical="top"/>
    </xf>
    <xf numFmtId="174" fontId="13" fillId="6" borderId="1" xfId="0" applyNumberFormat="1" applyFont="1" applyFill="1" applyBorder="1" applyAlignment="1">
      <alignment vertical="top"/>
    </xf>
    <xf numFmtId="174" fontId="11" fillId="5" borderId="4" xfId="0" applyNumberFormat="1" applyFont="1" applyFill="1" applyBorder="1" applyAlignment="1">
      <alignment vertical="top"/>
    </xf>
    <xf numFmtId="3" fontId="7" fillId="0" borderId="1" xfId="0" applyNumberFormat="1" applyFont="1" applyBorder="1" applyAlignment="1">
      <alignment vertical="top"/>
    </xf>
    <xf numFmtId="165" fontId="12" fillId="0" borderId="1" xfId="0" applyNumberFormat="1" applyFont="1" applyBorder="1" applyAlignment="1">
      <alignment vertical="top"/>
    </xf>
    <xf numFmtId="166" fontId="7" fillId="0" borderId="1" xfId="0" applyNumberFormat="1" applyFont="1" applyBorder="1" applyAlignment="1">
      <alignment vertical="top"/>
    </xf>
    <xf numFmtId="166" fontId="12" fillId="0" borderId="1" xfId="0" applyNumberFormat="1" applyFont="1" applyBorder="1" applyAlignment="1">
      <alignment vertical="top"/>
    </xf>
    <xf numFmtId="0" fontId="6" fillId="3" borderId="2" xfId="0" applyFont="1" applyFill="1" applyBorder="1" applyAlignment="1">
      <alignment horizontal="left" vertical="top"/>
    </xf>
    <xf numFmtId="165" fontId="6" fillId="3" borderId="2" xfId="0" applyNumberFormat="1" applyFont="1" applyFill="1" applyBorder="1" applyAlignment="1">
      <alignment vertical="top"/>
    </xf>
    <xf numFmtId="166" fontId="6" fillId="3" borderId="2" xfId="0" applyNumberFormat="1" applyFont="1" applyFill="1" applyBorder="1" applyAlignment="1">
      <alignment vertical="top"/>
    </xf>
    <xf numFmtId="165" fontId="11" fillId="5" borderId="4" xfId="0" applyNumberFormat="1" applyFont="1" applyFill="1" applyBorder="1" applyAlignment="1">
      <alignment vertical="top"/>
    </xf>
    <xf numFmtId="165" fontId="13" fillId="6" borderId="1" xfId="0" applyNumberFormat="1" applyFont="1" applyFill="1" applyBorder="1" applyAlignment="1">
      <alignment vertical="top"/>
    </xf>
    <xf numFmtId="170" fontId="13" fillId="6" borderId="1" xfId="0" applyNumberFormat="1" applyFont="1" applyFill="1" applyBorder="1" applyAlignment="1">
      <alignment vertical="top"/>
    </xf>
    <xf numFmtId="1" fontId="7" fillId="0" borderId="1" xfId="0" applyNumberFormat="1" applyFont="1" applyBorder="1" applyAlignment="1">
      <alignment horizontal="center" vertical="top"/>
    </xf>
    <xf numFmtId="172" fontId="11" fillId="5" borderId="4" xfId="0" applyNumberFormat="1" applyFont="1" applyFill="1" applyBorder="1" applyAlignment="1">
      <alignment vertical="top"/>
    </xf>
    <xf numFmtId="164" fontId="11" fillId="5" borderId="4" xfId="0" applyNumberFormat="1" applyFont="1" applyFill="1" applyBorder="1" applyAlignment="1">
      <alignment vertical="top"/>
    </xf>
    <xf numFmtId="164" fontId="6" fillId="0" borderId="1" xfId="0" applyNumberFormat="1" applyFont="1" applyBorder="1" applyAlignment="1">
      <alignment vertical="top"/>
    </xf>
    <xf numFmtId="176" fontId="11" fillId="5" borderId="4" xfId="0" applyNumberFormat="1" applyFont="1" applyFill="1" applyBorder="1" applyAlignment="1">
      <alignment vertical="top"/>
    </xf>
    <xf numFmtId="177" fontId="8" fillId="4" borderId="3" xfId="0" applyNumberFormat="1" applyFont="1" applyFill="1" applyBorder="1" applyAlignment="1">
      <alignment horizontal="center" vertical="center" wrapText="1"/>
    </xf>
    <xf numFmtId="164" fontId="6" fillId="3" borderId="2" xfId="0" applyNumberFormat="1" applyFont="1" applyFill="1" applyBorder="1" applyAlignment="1">
      <alignment vertical="top"/>
    </xf>
    <xf numFmtId="1" fontId="6" fillId="3" borderId="2" xfId="0" applyNumberFormat="1" applyFont="1" applyFill="1" applyBorder="1" applyAlignment="1">
      <alignment vertical="top"/>
    </xf>
    <xf numFmtId="172" fontId="6" fillId="3" borderId="2" xfId="0" applyNumberFormat="1" applyFont="1" applyFill="1" applyBorder="1" applyAlignment="1">
      <alignment vertical="top"/>
    </xf>
    <xf numFmtId="2" fontId="6" fillId="3" borderId="2" xfId="0" applyNumberFormat="1" applyFont="1" applyFill="1" applyBorder="1" applyAlignment="1">
      <alignment vertical="top"/>
    </xf>
    <xf numFmtId="167" fontId="6" fillId="3" borderId="2" xfId="0" applyNumberFormat="1" applyFont="1" applyFill="1" applyBorder="1" applyAlignment="1">
      <alignment vertical="top"/>
    </xf>
    <xf numFmtId="164" fontId="12" fillId="0" borderId="1" xfId="0" applyNumberFormat="1" applyFont="1" applyBorder="1" applyAlignment="1">
      <alignment vertical="top"/>
    </xf>
    <xf numFmtId="2" fontId="7" fillId="0" borderId="1" xfId="0" applyNumberFormat="1" applyFont="1" applyBorder="1" applyAlignment="1">
      <alignment vertical="top"/>
    </xf>
    <xf numFmtId="167" fontId="7" fillId="0" borderId="1" xfId="0" applyNumberFormat="1" applyFont="1" applyBorder="1" applyAlignment="1">
      <alignment vertical="top"/>
    </xf>
    <xf numFmtId="167" fontId="6" fillId="0" borderId="1" xfId="0" applyNumberFormat="1" applyFont="1" applyBorder="1" applyAlignment="1">
      <alignment horizontal="right" vertical="top"/>
    </xf>
    <xf numFmtId="167" fontId="7" fillId="0" borderId="1" xfId="0" applyNumberFormat="1" applyFont="1" applyBorder="1" applyAlignment="1">
      <alignment horizontal="right" vertical="top"/>
    </xf>
    <xf numFmtId="1" fontId="6" fillId="3" borderId="2" xfId="0" applyNumberFormat="1" applyFont="1" applyFill="1" applyBorder="1" applyAlignment="1">
      <alignment horizontal="center" vertical="top"/>
    </xf>
    <xf numFmtId="165" fontId="7" fillId="0" borderId="1" xfId="0" applyNumberFormat="1" applyFont="1" applyBorder="1" applyAlignment="1">
      <alignment horizontal="right" vertical="top"/>
    </xf>
    <xf numFmtId="1" fontId="11" fillId="5" borderId="4" xfId="0" applyNumberFormat="1" applyFont="1" applyFill="1" applyBorder="1" applyAlignment="1">
      <alignment vertical="top"/>
    </xf>
    <xf numFmtId="178" fontId="11" fillId="5" borderId="4" xfId="0" applyNumberFormat="1" applyFont="1" applyFill="1" applyBorder="1" applyAlignment="1">
      <alignment vertical="top"/>
    </xf>
    <xf numFmtId="178" fontId="6" fillId="3" borderId="2" xfId="0" applyNumberFormat="1" applyFont="1" applyFill="1" applyBorder="1" applyAlignment="1">
      <alignment vertical="top"/>
    </xf>
    <xf numFmtId="178" fontId="7" fillId="0" borderId="1" xfId="0" applyNumberFormat="1" applyFont="1" applyBorder="1" applyAlignment="1">
      <alignment vertical="top"/>
    </xf>
    <xf numFmtId="164" fontId="7" fillId="0" borderId="1" xfId="0" applyNumberFormat="1" applyFont="1" applyBorder="1" applyAlignment="1">
      <alignment horizontal="right" vertical="top"/>
    </xf>
    <xf numFmtId="178" fontId="7" fillId="0" borderId="1" xfId="0" applyNumberFormat="1" applyFont="1" applyBorder="1" applyAlignment="1">
      <alignment horizontal="right" vertical="top"/>
    </xf>
    <xf numFmtId="0" fontId="22" fillId="0" borderId="1" xfId="0" applyFont="1" applyBorder="1" applyAlignment="1">
      <alignment vertical="top" wrapText="1"/>
    </xf>
    <xf numFmtId="0" fontId="19" fillId="0" borderId="1" xfId="0" applyFont="1" applyBorder="1" applyAlignment="1">
      <alignment vertical="top" wrapText="1"/>
    </xf>
    <xf numFmtId="0" fontId="19" fillId="0" borderId="1" xfId="0" applyFont="1" applyBorder="1" applyAlignment="1">
      <alignment vertical="top" wrapText="1" indent="1"/>
    </xf>
    <xf numFmtId="0" fontId="23" fillId="0" borderId="0" xfId="0" applyFont="1" applyAlignment="1">
      <alignment vertical="top" wrapText="1"/>
    </xf>
  </cellXfs>
  <cellStyles count="1">
    <cellStyle name="Normal" xfId="0" builtinId="0"/>
  </cellStyles>
  <dxfs count="4">
    <dxf>
      <font>
        <b/>
        <color rgb="FF11694A"/>
      </font>
      <fill>
        <patternFill patternType="solid">
          <bgColor rgb="FFE2F1EA"/>
        </patternFill>
      </fill>
    </dxf>
    <dxf>
      <font>
        <b/>
        <color rgb="FFB42318"/>
      </font>
      <fill>
        <patternFill patternType="solid">
          <bgColor rgb="FFFBE9E7"/>
        </patternFill>
      </fill>
    </dxf>
    <dxf>
      <font>
        <b/>
        <color rgb="FF11694A"/>
      </font>
      <fill>
        <patternFill patternType="solid">
          <bgColor rgb="FFE2F1EA"/>
        </patternFill>
      </fill>
    </dxf>
    <dxf>
      <font>
        <b/>
        <color rgb="FFB42318"/>
      </font>
      <fill>
        <patternFill patternType="solid">
          <bgColor rgb="FFFBE9E7"/>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0.xml.rels><?xml version="1.0" encoding="UTF-8" standalone="yes"?>
<Relationships xmlns="http://schemas.openxmlformats.org/package/2006/relationships"><Relationship Id="rId1" Type="http://schemas.openxmlformats.org/officeDocument/2006/relationships/hyperlink" Target="https://www.iso.org/search.html?q=50002-1" TargetMode="External"/><Relationship Id="rId2" Type="http://schemas.openxmlformats.org/officeDocument/2006/relationships/hyperlink" Target="https://www.ashrae.org/technical-resources/standards-and-guidelines" TargetMode="External"/><Relationship Id="rId3" Type="http://schemas.openxmlformats.org/officeDocument/2006/relationships/hyperlink" Target="https://www.iso.org/search.html?q=50006" TargetMode="External"/><Relationship Id="rId4" Type="http://schemas.openxmlformats.org/officeDocument/2006/relationships/hyperlink" Target="https://www.ashrae.org/technical-resources/standards-and-guidelines" TargetMode="External"/><Relationship Id="rId5" Type="http://schemas.openxmlformats.org/officeDocument/2006/relationships/hyperlink" Target="https://evo-world.org/" TargetMode="External"/><Relationship Id="rId6" Type="http://schemas.openxmlformats.org/officeDocument/2006/relationships/hyperlink" Target="https://www.usgbc.org/leed" TargetMode="External"/><Relationship Id="rId7" Type="http://schemas.openxmlformats.org/officeDocument/2006/relationships/hyperlink" Target="https://www.bipm.org/en/committees/jc/jcgm/publications" TargetMode="External"/><Relationship Id="rId8" Type="http://schemas.openxmlformats.org/officeDocument/2006/relationships/hyperlink" Target="https://www.ipcc-nggip.iges.or.jp/public/2006gl/" TargetMode="External"/><Relationship Id="rId9" Type="http://schemas.openxmlformats.org/officeDocument/2006/relationships/hyperlink" Target="https://webbook.nist.gov/chemistry/" TargetMode="External"/><Relationship Id="rId10" Type="http://schemas.openxmlformats.org/officeDocument/2006/relationships/hyperlink" Target="https://www.iapws.org/" TargetMode="External"/><Relationship Id="rId11" Type="http://schemas.openxmlformats.org/officeDocument/2006/relationships/hyperlink" Target="https://www.compressedairchallenge.org/" TargetMode="External"/><Relationship Id="rId12" Type="http://schemas.openxmlformats.org/officeDocument/2006/relationships/hyperlink" Target="https://www.carbontrust.com/" TargetMode="External"/><Relationship Id="rId13" Type="http://schemas.openxmlformats.org/officeDocument/2006/relationships/hyperlink" Target="https://www.bcas.org.uk/" TargetMode="External"/><Relationship Id="rId14" Type="http://schemas.openxmlformats.org/officeDocument/2006/relationships/hyperlink" Target="https://eur-lex.europa.eu/eli/reg/2019/1781/oj" TargetMode="External"/><Relationship Id="rId15" Type="http://schemas.openxmlformats.org/officeDocument/2006/relationships/hyperlink" Target="https://www.iea.org/" TargetMode="External"/><Relationship Id="rId16" Type="http://schemas.openxmlformats.org/officeDocument/2006/relationships/hyperlink" Target="https://emp.lbl.gov/" TargetMode="External"/><Relationship Id="rId17" Type="http://schemas.openxmlformats.org/officeDocument/2006/relationships/hyperlink" Target="https://standards.cencenelec.eu/" TargetMode="External"/><Relationship Id="rId18" Type="http://schemas.openxmlformats.org/officeDocument/2006/relationships/hyperlink" Target="https://www.babcock.com/" TargetMode="External"/><Relationship Id="rId19" Type="http://schemas.openxmlformats.org/officeDocument/2006/relationships/hyperlink" Target="https://www.energy.gov/" TargetMode="External"/><Relationship Id="rId20" Type="http://schemas.openxmlformats.org/officeDocument/2006/relationships/hyperlink" Target="https://webbook.nist.gov/chemistry/" TargetMode="External"/><Relationship Id="rId21" Type="http://schemas.openxmlformats.org/officeDocument/2006/relationships/hyperlink" Target="https://www.asme.org/codes-standards" TargetMode="External"/><Relationship Id="rId22" Type="http://schemas.openxmlformats.org/officeDocument/2006/relationships/hyperlink" Target="https://www.bipm.org/en/committees/jc/jcgm/publications" TargetMode="External"/><Relationship Id="rId23" Type="http://schemas.openxmlformats.org/officeDocument/2006/relationships/hyperlink" Target="https://www.compressedairchallenge.org/" TargetMode="External"/><Relationship Id="rId24" Type="http://schemas.openxmlformats.org/officeDocument/2006/relationships/hyperlink" Target="https://www.pumps.org/" TargetMode="External"/><Relationship Id="rId25" Type="http://schemas.openxmlformats.org/officeDocument/2006/relationships/hyperlink" Target="https://eur-lex.europa.eu/eli/reg/2014/548/oj" TargetMode="External"/><Relationship Id="rId26" Type="http://schemas.openxmlformats.org/officeDocument/2006/relationships/hyperlink" Target="https://www.carbontrust.com/" TargetMode="External"/><Relationship Id="rId27" Type="http://schemas.openxmlformats.org/officeDocument/2006/relationships/hyperlink" Target="https://www.ashrae.org/technical-resources/ashrae-handbook" TargetMode="External"/><Relationship Id="rId28" Type="http://schemas.openxmlformats.org/officeDocument/2006/relationships/hyperlink" Target="https://www.energy.gov/" TargetMode="External"/><Relationship Id="rId29" Type="http://schemas.openxmlformats.org/officeDocument/2006/relationships/hyperlink" Target="https://www.ashrae.org/technical-resources/ashrae-handbook" TargetMode="External"/><Relationship Id="rId30" Type="http://schemas.openxmlformats.org/officeDocument/2006/relationships/hyperlink" Target="https://www.energy.gov/" TargetMode="External"/><Relationship Id="rId31" Type="http://schemas.openxmlformats.org/officeDocument/2006/relationships/hyperlink" Target="https://standards.cencenelec.eu/" TargetMode="External"/><Relationship Id="rId32" Type="http://schemas.openxmlformats.org/officeDocument/2006/relationships/hyperlink" Target="https://www.ashrae.org/technical-resources/ashrae-handbook" TargetMode="External"/><Relationship Id="rId33" Type="http://schemas.openxmlformats.org/officeDocument/2006/relationships/hyperlink" Target="https://www.osti.gov/biblio/920937" TargetMode="External"/><Relationship Id="rId34" Type="http://schemas.openxmlformats.org/officeDocument/2006/relationships/hyperlink" Target="https://www.carbontrust.com/" TargetMode="External"/><Relationship Id="rId35" Type="http://schemas.openxmlformats.org/officeDocument/2006/relationships/hyperlink" Target="https://www.iso.org/search.html?q=5151" TargetMode="External"/><Relationship Id="rId36" Type="http://schemas.openxmlformats.org/officeDocument/2006/relationships/hyperlink" Target="https://www.bipm.org/en/committees/jc/jcgm/publications" TargetMode="External"/><Relationship Id="rId37" Type="http://schemas.openxmlformats.org/officeDocument/2006/relationships/hyperlink" Target="https://www.ashrae.org/" TargetMode="External"/><Relationship Id="rId38" Type="http://schemas.openxmlformats.org/officeDocument/2006/relationships/hyperlink" Target="https://www.energy.gov/" TargetMode="External"/><Relationship Id="rId39" Type="http://schemas.openxmlformats.org/officeDocument/2006/relationships/hyperlink" Target="https://edbodmer.com/sculpting-cour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F1720"/>
    <pageSetUpPr fitToPage="1"/>
  </sheetPr>
  <dimension ref="B2:F70"/>
  <sheetViews>
    <sheetView workbookViewId="0" showGridLines="0"/>
  </sheetViews>
  <sheetFormatPr defaultRowHeight="15" outlineLevelRow="0" outlineLevelCol="0" x14ac:dyDescent="55"/>
  <cols>
    <col min="1" max="1" width="3" customWidth="1"/>
    <col min="2" max="2" width="40" customWidth="1"/>
    <col min="3" max="3" width="26" customWidth="1"/>
    <col min="4" max="6" width="24" customWidth="1"/>
  </cols>
  <sheetData>
    <row r="2" ht="34" customHeight="1" spans="2:2" x14ac:dyDescent="0.25">
      <c r="B2" s="1" t="s">
        <v>0</v>
      </c>
    </row>
    <row r="3" spans="2:2" x14ac:dyDescent="0.25">
      <c r="B3" s="2" t="s">
        <v>1</v>
      </c>
    </row>
    <row r="4" ht="22" customHeight="1" spans="2:2" x14ac:dyDescent="0.25">
      <c r="B4" s="3" t="s">
        <v>2</v>
      </c>
    </row>
    <row r="5" spans="2:2" x14ac:dyDescent="0.25">
      <c r="B5" s="4" t="s">
        <v>3</v>
      </c>
    </row>
    <row r="7" ht="18" customHeight="1" spans="2:6" x14ac:dyDescent="0.25">
      <c r="B7" s="5" t="s">
        <v>4</v>
      </c>
      <c r="C7" s="5"/>
      <c r="D7" s="5"/>
      <c r="E7" s="5"/>
      <c r="F7" s="5"/>
    </row>
    <row r="8" spans="2:6" x14ac:dyDescent="0.25">
      <c r="B8" s="6" t="s">
        <v>5</v>
      </c>
      <c r="C8" s="7" t="s">
        <v>2</v>
      </c>
      <c r="D8" s="7"/>
      <c r="E8" s="7"/>
      <c r="F8" s="7"/>
    </row>
    <row r="9" spans="2:6" x14ac:dyDescent="0.25">
      <c r="B9" s="6" t="s">
        <v>6</v>
      </c>
      <c r="C9" s="7" t="s">
        <v>7</v>
      </c>
      <c r="D9" s="7"/>
      <c r="E9" s="7"/>
      <c r="F9" s="7"/>
    </row>
    <row r="10" spans="2:6" x14ac:dyDescent="0.25">
      <c r="B10" s="6" t="s">
        <v>8</v>
      </c>
      <c r="C10" s="7" t="s">
        <v>9</v>
      </c>
      <c r="D10" s="7"/>
      <c r="E10" s="7"/>
      <c r="F10" s="7"/>
    </row>
    <row r="11" spans="2:6" x14ac:dyDescent="0.25">
      <c r="B11" s="6" t="s">
        <v>10</v>
      </c>
      <c r="C11" s="7" t="s">
        <v>11</v>
      </c>
      <c r="D11" s="7"/>
      <c r="E11" s="7"/>
      <c r="F11" s="7"/>
    </row>
    <row r="12" spans="2:6" x14ac:dyDescent="0.25">
      <c r="B12" s="6" t="s">
        <v>12</v>
      </c>
      <c r="C12" s="7" t="s">
        <v>2</v>
      </c>
      <c r="D12" s="7"/>
      <c r="E12" s="7"/>
      <c r="F12" s="7"/>
    </row>
    <row r="13" spans="2:6" x14ac:dyDescent="0.25">
      <c r="B13" s="6" t="s">
        <v>13</v>
      </c>
      <c r="C13" s="7" t="s">
        <v>14</v>
      </c>
      <c r="D13" s="7"/>
      <c r="E13" s="7"/>
      <c r="F13" s="7"/>
    </row>
    <row r="14" spans="2:6" x14ac:dyDescent="0.25">
      <c r="B14" s="6" t="s">
        <v>15</v>
      </c>
      <c r="C14" s="7" t="s">
        <v>16</v>
      </c>
      <c r="D14" s="7"/>
      <c r="E14" s="7"/>
      <c r="F14" s="7"/>
    </row>
    <row r="15" spans="2:6" x14ac:dyDescent="0.25">
      <c r="B15" s="6" t="s">
        <v>17</v>
      </c>
      <c r="C15" s="7" t="s">
        <v>18</v>
      </c>
      <c r="D15" s="7"/>
      <c r="E15" s="7"/>
      <c r="F15" s="7"/>
    </row>
    <row r="16" spans="2:6" x14ac:dyDescent="0.25">
      <c r="B16" s="6" t="s">
        <v>19</v>
      </c>
      <c r="C16" s="7" t="s">
        <v>20</v>
      </c>
      <c r="D16" s="7"/>
      <c r="E16" s="7"/>
      <c r="F16" s="7"/>
    </row>
    <row r="17" spans="2:6" x14ac:dyDescent="0.25">
      <c r="B17" s="6" t="s">
        <v>21</v>
      </c>
      <c r="C17" s="7" t="s">
        <v>22</v>
      </c>
      <c r="D17" s="7"/>
      <c r="E17" s="7"/>
      <c r="F17" s="7"/>
    </row>
    <row r="18" spans="2:6" x14ac:dyDescent="0.25">
      <c r="B18" s="6" t="s">
        <v>23</v>
      </c>
      <c r="C18" s="7" t="s">
        <v>24</v>
      </c>
      <c r="D18" s="7"/>
      <c r="E18" s="7"/>
      <c r="F18" s="7"/>
    </row>
    <row r="20" ht="18" customHeight="1" spans="2:6" x14ac:dyDescent="0.25">
      <c r="B20" s="5" t="s">
        <v>25</v>
      </c>
      <c r="C20" s="5"/>
      <c r="D20" s="5"/>
      <c r="E20" s="5"/>
      <c r="F20" s="5"/>
    </row>
    <row r="21" spans="2:3" x14ac:dyDescent="0.25">
      <c r="B21" s="7" t="s">
        <v>26</v>
      </c>
      <c r="C21" s="8">
        <f>COUNTA(Portfolio!$B$23:$B$46)</f>
        <v>24</v>
      </c>
    </row>
    <row r="22" spans="2:3" x14ac:dyDescent="0.25">
      <c r="B22" s="7" t="s">
        <v>27</v>
      </c>
      <c r="C22" s="9">
        <f>Total_Capex</f>
        <v>3497273.8327836003</v>
      </c>
    </row>
    <row r="23" spans="2:3" x14ac:dyDescent="0.25">
      <c r="B23" s="7" t="s">
        <v>28</v>
      </c>
      <c r="C23" s="9">
        <f>Total_NetSaving</f>
        <v>3266550.992764389</v>
      </c>
    </row>
    <row r="24" spans="2:3" x14ac:dyDescent="0.25">
      <c r="B24" s="7" t="s">
        <v>29</v>
      </c>
      <c r="C24" s="10">
        <f>Total_kWh</f>
        <v>1873002.8849715344</v>
      </c>
    </row>
    <row r="25" spans="2:3" x14ac:dyDescent="0.25">
      <c r="B25" s="7" t="s">
        <v>30</v>
      </c>
      <c r="C25" s="11">
        <f>Total_Payback</f>
        <v>1.0706319419259875</v>
      </c>
    </row>
    <row r="26" spans="2:3" x14ac:dyDescent="0.25">
      <c r="B26" s="7" t="s">
        <v>31</v>
      </c>
      <c r="C26" s="9">
        <f>Total_NPV</f>
        <v>23587953.959507894</v>
      </c>
    </row>
    <row r="27" spans="2:3" x14ac:dyDescent="0.25">
      <c r="B27" s="7" t="s">
        <v>32</v>
      </c>
      <c r="C27" s="12">
        <f>Total_IRR</f>
        <v>0.9976677226990434</v>
      </c>
    </row>
    <row r="28" spans="2:3" x14ac:dyDescent="0.25">
      <c r="B28" s="7" t="s">
        <v>33</v>
      </c>
      <c r="C28" s="13">
        <f>Total_LCSE</f>
        <v>0.3050606888413316</v>
      </c>
    </row>
    <row r="29" spans="2:3" x14ac:dyDescent="0.25">
      <c r="B29" s="7" t="s">
        <v>34</v>
      </c>
      <c r="C29" s="14" t="str">
        <f>COUNTIF(Balance!$J$7:$J$9,"Within*")&amp;" of "&amp;ROWS(Balance!$J$7:$J$9)</f>
        <v>3 of 3</v>
      </c>
    </row>
    <row r="30" spans="2:3" x14ac:dyDescent="0.25">
      <c r="B30" s="7" t="s">
        <v>35</v>
      </c>
      <c r="C30" s="12">
        <f>Balance!G10</f>
        <v>0.046416793403561224</v>
      </c>
    </row>
    <row r="32" ht="18" customHeight="1" spans="2:6" x14ac:dyDescent="0.25">
      <c r="B32" s="5" t="s">
        <v>36</v>
      </c>
      <c r="C32" s="5"/>
      <c r="D32" s="5"/>
      <c r="E32" s="5"/>
      <c r="F32" s="5"/>
    </row>
    <row r="33" ht="18" customHeight="1" spans="2:6" x14ac:dyDescent="0.25">
      <c r="B33" s="15" t="s">
        <v>37</v>
      </c>
      <c r="C33" s="16" t="s">
        <v>38</v>
      </c>
      <c r="D33" s="16" t="s">
        <v>39</v>
      </c>
      <c r="E33" s="16"/>
      <c r="F33" s="16"/>
    </row>
    <row r="34" spans="2:6" x14ac:dyDescent="0.25">
      <c r="B34" s="7" t="s">
        <v>40</v>
      </c>
      <c r="C34" s="7" t="s">
        <v>41</v>
      </c>
      <c r="D34" s="17" t="s">
        <v>42</v>
      </c>
      <c r="E34" s="17"/>
      <c r="F34" s="17"/>
    </row>
    <row r="35" spans="2:6" x14ac:dyDescent="0.25">
      <c r="B35" s="7" t="s">
        <v>43</v>
      </c>
      <c r="C35" s="7" t="s">
        <v>44</v>
      </c>
      <c r="D35" s="17" t="s">
        <v>45</v>
      </c>
      <c r="E35" s="17"/>
      <c r="F35" s="17"/>
    </row>
    <row r="36" spans="2:6" x14ac:dyDescent="0.25">
      <c r="B36" s="7" t="s">
        <v>46</v>
      </c>
      <c r="C36" s="7" t="s">
        <v>41</v>
      </c>
      <c r="D36" s="17" t="s">
        <v>42</v>
      </c>
      <c r="E36" s="17"/>
      <c r="F36" s="17"/>
    </row>
    <row r="37" spans="2:6" x14ac:dyDescent="0.25">
      <c r="B37" s="7" t="s">
        <v>47</v>
      </c>
      <c r="C37" s="7" t="s">
        <v>41</v>
      </c>
      <c r="D37" s="17" t="s">
        <v>42</v>
      </c>
      <c r="E37" s="17"/>
      <c r="F37" s="17"/>
    </row>
    <row r="38" spans="2:6" x14ac:dyDescent="0.25">
      <c r="B38" s="7" t="s">
        <v>48</v>
      </c>
      <c r="C38" s="7" t="s">
        <v>41</v>
      </c>
      <c r="D38" s="17" t="s">
        <v>42</v>
      </c>
      <c r="E38" s="17"/>
      <c r="F38" s="17"/>
    </row>
    <row r="39" spans="2:6" x14ac:dyDescent="0.25">
      <c r="B39" s="7" t="s">
        <v>49</v>
      </c>
      <c r="C39" s="7" t="s">
        <v>41</v>
      </c>
      <c r="D39" s="17" t="s">
        <v>42</v>
      </c>
      <c r="E39" s="17"/>
      <c r="F39" s="17"/>
    </row>
    <row r="40" spans="2:6" x14ac:dyDescent="0.25">
      <c r="B40" s="7" t="s">
        <v>50</v>
      </c>
      <c r="C40" s="7" t="s">
        <v>41</v>
      </c>
      <c r="D40" s="17" t="s">
        <v>42</v>
      </c>
      <c r="E40" s="17"/>
      <c r="F40" s="17"/>
    </row>
    <row r="41" spans="2:6" x14ac:dyDescent="0.25">
      <c r="B41" s="7" t="s">
        <v>51</v>
      </c>
      <c r="C41" s="7" t="s">
        <v>52</v>
      </c>
      <c r="D41" s="17" t="s">
        <v>53</v>
      </c>
      <c r="E41" s="17"/>
      <c r="F41" s="17"/>
    </row>
    <row r="42" spans="2:2" x14ac:dyDescent="0.25">
      <c r="B42" s="18" t="s">
        <v>54</v>
      </c>
    </row>
    <row r="44" ht="18" customHeight="1" spans="2:6" x14ac:dyDescent="0.25">
      <c r="B44" s="5" t="s">
        <v>55</v>
      </c>
      <c r="C44" s="5"/>
      <c r="D44" s="5"/>
      <c r="E44" s="5"/>
      <c r="F44" s="5"/>
    </row>
    <row r="45" spans="2:6" x14ac:dyDescent="0.25">
      <c r="B45" s="19" t="s">
        <v>56</v>
      </c>
      <c r="C45" s="17" t="s">
        <v>57</v>
      </c>
      <c r="D45" s="17"/>
      <c r="E45" s="17"/>
      <c r="F45" s="17"/>
    </row>
    <row r="46" spans="2:6" x14ac:dyDescent="0.25">
      <c r="B46" s="20" t="s">
        <v>58</v>
      </c>
      <c r="C46" s="17" t="s">
        <v>59</v>
      </c>
      <c r="D46" s="17"/>
      <c r="E46" s="17"/>
      <c r="F46" s="17"/>
    </row>
    <row r="47" spans="2:6" x14ac:dyDescent="0.25">
      <c r="B47" s="21" t="s">
        <v>60</v>
      </c>
      <c r="C47" s="17" t="s">
        <v>61</v>
      </c>
      <c r="D47" s="17"/>
      <c r="E47" s="17"/>
      <c r="F47" s="17"/>
    </row>
    <row r="48" spans="2:6" x14ac:dyDescent="0.25">
      <c r="B48" s="22" t="s">
        <v>62</v>
      </c>
      <c r="C48" s="17" t="s">
        <v>63</v>
      </c>
      <c r="D48" s="17"/>
      <c r="E48" s="17"/>
      <c r="F48" s="17"/>
    </row>
    <row r="49" spans="2:6" x14ac:dyDescent="0.25">
      <c r="B49" s="23" t="s">
        <v>64</v>
      </c>
      <c r="C49" s="17" t="s">
        <v>65</v>
      </c>
      <c r="D49" s="17"/>
      <c r="E49" s="17"/>
      <c r="F49" s="17"/>
    </row>
    <row r="50" spans="2:6" x14ac:dyDescent="0.25">
      <c r="B50" s="24" t="s">
        <v>66</v>
      </c>
      <c r="C50" s="17" t="s">
        <v>67</v>
      </c>
      <c r="D50" s="17"/>
      <c r="E50" s="17"/>
      <c r="F50" s="17"/>
    </row>
    <row r="51" spans="2:6" x14ac:dyDescent="0.25">
      <c r="B51" s="25" t="s">
        <v>68</v>
      </c>
      <c r="C51" s="17" t="s">
        <v>69</v>
      </c>
      <c r="D51" s="17"/>
      <c r="E51" s="17"/>
      <c r="F51" s="17"/>
    </row>
    <row r="52" spans="2:6" x14ac:dyDescent="0.25">
      <c r="B52" s="26" t="s">
        <v>70</v>
      </c>
      <c r="C52" s="17" t="s">
        <v>71</v>
      </c>
      <c r="D52" s="17"/>
      <c r="E52" s="17"/>
      <c r="F52" s="17"/>
    </row>
    <row r="53" spans="2:6" x14ac:dyDescent="0.25">
      <c r="B53" s="27" t="s">
        <v>72</v>
      </c>
      <c r="C53" s="17" t="s">
        <v>73</v>
      </c>
      <c r="D53" s="17"/>
      <c r="E53" s="17"/>
      <c r="F53" s="17"/>
    </row>
    <row r="54" spans="2:2" x14ac:dyDescent="0.25">
      <c r="B54" s="18" t="s">
        <v>74</v>
      </c>
    </row>
    <row r="56" ht="18" customHeight="1" spans="2:6" x14ac:dyDescent="0.25">
      <c r="B56" s="5" t="s">
        <v>75</v>
      </c>
      <c r="C56" s="5"/>
      <c r="D56" s="5"/>
      <c r="E56" s="5"/>
      <c r="F56" s="5"/>
    </row>
    <row r="57" ht="26" customHeight="1" spans="2:6" x14ac:dyDescent="0.25">
      <c r="B57" s="28" t="str">
        <f>HYPERLINK("#Inputs!A1","Inputs")</f>
        <v>Inputs</v>
      </c>
      <c r="C57" s="29" t="s">
        <v>76</v>
      </c>
      <c r="D57" s="29"/>
      <c r="E57" s="29"/>
      <c r="F57" s="29"/>
    </row>
    <row r="58" ht="26" customHeight="1" spans="2:6" x14ac:dyDescent="0.25">
      <c r="B58" s="28" t="str">
        <f>HYPERLINK("#Bills!A1","Bills")</f>
        <v>Bills</v>
      </c>
      <c r="C58" s="29" t="s">
        <v>77</v>
      </c>
      <c r="D58" s="29"/>
      <c r="E58" s="29"/>
      <c r="F58" s="29"/>
    </row>
    <row r="59" spans="2:6" x14ac:dyDescent="0.25">
      <c r="B59" s="28" t="str">
        <f>HYPERLINK("#Inventory!A1","Inventory")</f>
        <v>Inventory</v>
      </c>
      <c r="C59" s="29" t="s">
        <v>78</v>
      </c>
      <c r="D59" s="29"/>
      <c r="E59" s="29"/>
      <c r="F59" s="29"/>
    </row>
    <row r="60" ht="26" customHeight="1" spans="2:6" x14ac:dyDescent="0.25">
      <c r="B60" s="28" t="str">
        <f>HYPERLINK("#Balance!A1","Balance")</f>
        <v>Balance</v>
      </c>
      <c r="C60" s="29" t="s">
        <v>79</v>
      </c>
      <c r="D60" s="29"/>
      <c r="E60" s="29"/>
      <c r="F60" s="29"/>
    </row>
    <row r="61" ht="26" customHeight="1" spans="2:6" x14ac:dyDescent="0.25">
      <c r="B61" s="28" t="str">
        <f>HYPERLINK("#Measures!A1","Measures")</f>
        <v>Measures</v>
      </c>
      <c r="C61" s="29" t="s">
        <v>80</v>
      </c>
      <c r="D61" s="29"/>
      <c r="E61" s="29"/>
      <c r="F61" s="29"/>
    </row>
    <row r="62" spans="2:6" x14ac:dyDescent="0.25">
      <c r="B62" s="28" t="str">
        <f>HYPERLINK("#CashFlows!A1","CashFlows")</f>
        <v>CashFlows</v>
      </c>
      <c r="C62" s="29" t="s">
        <v>81</v>
      </c>
      <c r="D62" s="29"/>
      <c r="E62" s="29"/>
      <c r="F62" s="29"/>
    </row>
    <row r="63" ht="26" customHeight="1" spans="2:6" x14ac:dyDescent="0.25">
      <c r="B63" s="28" t="str">
        <f>HYPERLINK("#Portfolio!A1","Portfolio")</f>
        <v>Portfolio</v>
      </c>
      <c r="C63" s="29" t="s">
        <v>82</v>
      </c>
      <c r="D63" s="29"/>
      <c r="E63" s="29"/>
      <c r="F63" s="29"/>
    </row>
    <row r="64" ht="26" customHeight="1" spans="2:6" x14ac:dyDescent="0.25">
      <c r="B64" s="28" t="str">
        <f>HYPERLINK("#Loan!A1","Loan")</f>
        <v>Loan</v>
      </c>
      <c r="C64" s="29" t="s">
        <v>83</v>
      </c>
      <c r="D64" s="29"/>
      <c r="E64" s="29"/>
      <c r="F64" s="29"/>
    </row>
    <row r="65" spans="2:6" x14ac:dyDescent="0.25">
      <c r="B65" s="28" t="str">
        <f>HYPERLINK("#'Sources &amp; methods'!A1","Sources &amp; methods")</f>
        <v>Sources &amp; methods</v>
      </c>
      <c r="C65" s="29" t="s">
        <v>84</v>
      </c>
      <c r="D65" s="29"/>
      <c r="E65" s="29"/>
      <c r="F65" s="29"/>
    </row>
    <row r="67" ht="18" customHeight="1" spans="2:6" x14ac:dyDescent="0.25">
      <c r="B67" s="5" t="s">
        <v>85</v>
      </c>
      <c r="C67" s="5"/>
      <c r="D67" s="5"/>
      <c r="E67" s="5"/>
      <c r="F67" s="5"/>
    </row>
    <row r="68" ht="28" customHeight="1" spans="2:6" x14ac:dyDescent="0.25">
      <c r="B68" s="30" t="s">
        <v>86</v>
      </c>
      <c r="C68" s="30"/>
      <c r="D68" s="30"/>
      <c r="E68" s="30"/>
      <c r="F68" s="30"/>
    </row>
    <row r="69" ht="28" customHeight="1" spans="2:6" x14ac:dyDescent="0.25">
      <c r="B69" s="30" t="s">
        <v>87</v>
      </c>
      <c r="C69" s="30"/>
      <c r="D69" s="30"/>
      <c r="E69" s="30"/>
      <c r="F69" s="30"/>
    </row>
    <row r="70" ht="28" customHeight="1" spans="2:6" x14ac:dyDescent="0.25">
      <c r="B70" s="30" t="s">
        <v>88</v>
      </c>
      <c r="C70" s="30"/>
      <c r="D70" s="30"/>
      <c r="E70" s="30"/>
      <c r="F70" s="30"/>
    </row>
  </sheetData>
  <mergeCells count="41">
    <mergeCell ref="C8:F8"/>
    <mergeCell ref="C9:F9"/>
    <mergeCell ref="C10:F10"/>
    <mergeCell ref="C11:F11"/>
    <mergeCell ref="C12:F12"/>
    <mergeCell ref="C13:F13"/>
    <mergeCell ref="C14:F14"/>
    <mergeCell ref="C15:F15"/>
    <mergeCell ref="C16:F16"/>
    <mergeCell ref="C17:F17"/>
    <mergeCell ref="C18:F18"/>
    <mergeCell ref="D33:F33"/>
    <mergeCell ref="D34:F34"/>
    <mergeCell ref="D35:F35"/>
    <mergeCell ref="D36:F36"/>
    <mergeCell ref="D37:F37"/>
    <mergeCell ref="D38:F38"/>
    <mergeCell ref="D39:F39"/>
    <mergeCell ref="D40:F40"/>
    <mergeCell ref="D41:F41"/>
    <mergeCell ref="C45:F45"/>
    <mergeCell ref="C46:F46"/>
    <mergeCell ref="C47:F47"/>
    <mergeCell ref="C48:F48"/>
    <mergeCell ref="C49:F49"/>
    <mergeCell ref="C50:F50"/>
    <mergeCell ref="C51:F51"/>
    <mergeCell ref="C52:F52"/>
    <mergeCell ref="C53:F53"/>
    <mergeCell ref="C57:F57"/>
    <mergeCell ref="C58:F58"/>
    <mergeCell ref="C59:F59"/>
    <mergeCell ref="C60:F60"/>
    <mergeCell ref="C61:F61"/>
    <mergeCell ref="C62:F62"/>
    <mergeCell ref="C63:F63"/>
    <mergeCell ref="C64:F64"/>
    <mergeCell ref="C65:F65"/>
    <mergeCell ref="B68:F68"/>
    <mergeCell ref="B69:F69"/>
    <mergeCell ref="B70:F70"/>
  </mergeCells>
  <pageMargins left="0.45" right="0.45" top="0.7" bottom="0.6" header="0.3" footer="0.3"/>
  <pageSetup paperSize="9" orientation="portrait" horizontalDpi="4294967295" verticalDpi="4294967295" scale="100" fitToWidth="1" fitToHeight="0"/>
  <headerFooter>
    <oddHeader>&amp;L&amp;"Arial"&amp;8Advanced Energy Audit · Demo Foods (Pty) Ltd (fictional)&amp;R&amp;"Arial"&amp;8&amp;A</oddHeader>
    <oddFooter>&amp;L&amp;"Arial"&amp;8Thabiso Kali, Certified Energy Manager · Fictional demonstration&amp;R&amp;"Arial"&amp;8Page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7841A"/>
    <pageSetUpPr fitToPage="1"/>
  </sheetPr>
  <dimension ref="A1:G29"/>
  <sheetViews>
    <sheetView workbookViewId="0" showGridLines="0">
      <pane xSplit="1" ySplit="4" topLeftCell="B5" activePane="bottomRight" state="frozen"/>
      <selection pane="bottomRight"/>
    </sheetView>
  </sheetViews>
  <sheetFormatPr defaultRowHeight="15" outlineLevelRow="0" outlineLevelCol="0" x14ac:dyDescent="55"/>
  <cols>
    <col min="1" max="1" width="46" customWidth="1"/>
    <col min="2" max="2" width="14" customWidth="1"/>
    <col min="3" max="3" width="13" customWidth="1"/>
    <col min="4" max="4" width="12" customWidth="1"/>
    <col min="5" max="5" width="7" customWidth="1"/>
    <col min="6" max="6" width="24" customWidth="1"/>
    <col min="7" max="7" width="110" customWidth="1"/>
  </cols>
  <sheetData>
    <row r="1" ht="26" customHeight="1" spans="1:1" x14ac:dyDescent="0.25">
      <c r="A1" s="31" t="s">
        <v>89</v>
      </c>
    </row>
    <row r="2" spans="1:1" x14ac:dyDescent="0.25">
      <c r="A2" s="32" t="s">
        <v>90</v>
      </c>
    </row>
    <row r="3" spans="1:1" x14ac:dyDescent="0.25">
      <c r="A3" s="33" t="s">
        <v>91</v>
      </c>
    </row>
    <row r="5" ht="18" customHeight="1" spans="1:7" x14ac:dyDescent="0.25">
      <c r="A5" s="5" t="s">
        <v>92</v>
      </c>
      <c r="B5" s="5"/>
      <c r="C5" s="5"/>
      <c r="D5" s="5"/>
      <c r="E5" s="5"/>
      <c r="F5" s="5"/>
      <c r="G5" s="5"/>
    </row>
    <row r="6" ht="20" customHeight="1" spans="1:7" x14ac:dyDescent="0.25">
      <c r="A6" s="15" t="s">
        <v>93</v>
      </c>
      <c r="B6" s="16" t="s">
        <v>94</v>
      </c>
      <c r="C6" s="16" t="s">
        <v>95</v>
      </c>
      <c r="D6" s="16" t="s">
        <v>96</v>
      </c>
      <c r="E6" s="16" t="s">
        <v>97</v>
      </c>
      <c r="F6" s="16" t="s">
        <v>98</v>
      </c>
      <c r="G6" s="16" t="s">
        <v>99</v>
      </c>
    </row>
    <row r="7" spans="1:7" x14ac:dyDescent="0.25">
      <c r="A7" s="7" t="s">
        <v>100</v>
      </c>
      <c r="B7" s="34">
        <v>0.12</v>
      </c>
      <c r="C7" s="17" t="s">
        <v>101</v>
      </c>
      <c r="D7" s="27" t="s">
        <v>72</v>
      </c>
      <c r="F7" s="17" t="s">
        <v>102</v>
      </c>
      <c r="G7" s="17" t="s">
        <v>103</v>
      </c>
    </row>
    <row r="8" spans="1:7" x14ac:dyDescent="0.25">
      <c r="A8" s="7" t="s">
        <v>104</v>
      </c>
      <c r="B8" s="34">
        <v>0.08</v>
      </c>
      <c r="C8" s="17" t="s">
        <v>101</v>
      </c>
      <c r="D8" s="27" t="s">
        <v>72</v>
      </c>
      <c r="F8" s="17" t="s">
        <v>105</v>
      </c>
      <c r="G8" s="17" t="s">
        <v>106</v>
      </c>
    </row>
    <row r="9" spans="1:7" x14ac:dyDescent="0.25">
      <c r="A9" s="7" t="s">
        <v>107</v>
      </c>
      <c r="B9" s="35">
        <f>MAX(Portfolio!$D$23:$D$46)</f>
        <v>20</v>
      </c>
      <c r="C9" s="17" t="s">
        <v>108</v>
      </c>
      <c r="D9" s="25" t="s">
        <v>68</v>
      </c>
      <c r="F9" s="17" t="s">
        <v>109</v>
      </c>
      <c r="G9" s="17" t="s">
        <v>110</v>
      </c>
    </row>
    <row r="10" spans="1:7" x14ac:dyDescent="0.25">
      <c r="A10" s="7" t="s">
        <v>111</v>
      </c>
      <c r="B10" s="36">
        <v>20</v>
      </c>
      <c r="C10" s="17" t="s">
        <v>108</v>
      </c>
      <c r="D10" s="25" t="s">
        <v>68</v>
      </c>
      <c r="F10" s="17" t="s">
        <v>112</v>
      </c>
      <c r="G10" s="17" t="s">
        <v>113</v>
      </c>
    </row>
    <row r="11" spans="1:2" x14ac:dyDescent="0.25">
      <c r="A11" s="7" t="s">
        <v>114</v>
      </c>
      <c r="B11" s="37" t="str">
        <f>IF(AnalysisPeriod&lt;=CashFlowYears,"OK","Make the workbook again: a life is longer than the columns")</f>
        <v>OK</v>
      </c>
    </row>
    <row r="13" ht="18" customHeight="1" spans="1:7" x14ac:dyDescent="0.25">
      <c r="A13" s="5" t="s">
        <v>115</v>
      </c>
      <c r="B13" s="5"/>
      <c r="C13" s="5"/>
      <c r="D13" s="5"/>
      <c r="E13" s="5"/>
      <c r="F13" s="5"/>
      <c r="G13" s="5"/>
    </row>
    <row r="14" ht="20" customHeight="1" spans="1:7" x14ac:dyDescent="0.25">
      <c r="A14" s="15" t="s">
        <v>93</v>
      </c>
      <c r="B14" s="16" t="s">
        <v>94</v>
      </c>
      <c r="C14" s="16" t="s">
        <v>95</v>
      </c>
      <c r="D14" s="16" t="s">
        <v>96</v>
      </c>
      <c r="E14" s="16" t="s">
        <v>97</v>
      </c>
      <c r="F14" s="16" t="s">
        <v>98</v>
      </c>
      <c r="G14" s="16" t="s">
        <v>99</v>
      </c>
    </row>
    <row r="15" spans="1:7" x14ac:dyDescent="0.25">
      <c r="A15" s="7" t="s">
        <v>116</v>
      </c>
      <c r="B15" s="38">
        <f>Bills!$C$22</f>
        <v>1.4966168195357288</v>
      </c>
      <c r="C15" s="17" t="s">
        <v>117</v>
      </c>
      <c r="D15" s="25" t="s">
        <v>68</v>
      </c>
      <c r="E15" s="39">
        <v>2</v>
      </c>
      <c r="F15" s="17" t="s">
        <v>118</v>
      </c>
      <c r="G15" s="17" t="s">
        <v>119</v>
      </c>
    </row>
    <row r="16" spans="1:7" x14ac:dyDescent="0.25">
      <c r="A16" s="7" t="s">
        <v>120</v>
      </c>
      <c r="B16" s="40">
        <f>Bills!$C$25</f>
        <v>42</v>
      </c>
      <c r="C16" s="17" t="s">
        <v>121</v>
      </c>
      <c r="D16" s="25" t="s">
        <v>68</v>
      </c>
      <c r="E16" s="39">
        <v>2</v>
      </c>
      <c r="F16" s="17" t="s">
        <v>122</v>
      </c>
      <c r="G16" s="17" t="s">
        <v>123</v>
      </c>
    </row>
    <row r="17" spans="1:7" x14ac:dyDescent="0.25">
      <c r="A17" s="7" t="s">
        <v>124</v>
      </c>
      <c r="B17" s="40">
        <f>Bills!$C$28</f>
        <v>24</v>
      </c>
      <c r="C17" s="17" t="s">
        <v>121</v>
      </c>
      <c r="D17" s="25" t="s">
        <v>68</v>
      </c>
      <c r="E17" s="39">
        <v>2</v>
      </c>
      <c r="F17" s="17" t="s">
        <v>125</v>
      </c>
      <c r="G17" s="17" t="s">
        <v>126</v>
      </c>
    </row>
    <row r="18" spans="1:7" x14ac:dyDescent="0.25">
      <c r="A18" s="7" t="s">
        <v>127</v>
      </c>
      <c r="B18" s="38">
        <f>Bills!$D$22</f>
        <v>1.8646934460887952</v>
      </c>
      <c r="C18" s="17" t="s">
        <v>117</v>
      </c>
      <c r="D18" s="27" t="s">
        <v>72</v>
      </c>
      <c r="E18" s="39">
        <v>2</v>
      </c>
      <c r="F18" s="17" t="s">
        <v>128</v>
      </c>
      <c r="G18" s="17" t="s">
        <v>129</v>
      </c>
    </row>
    <row r="19" spans="1:7" x14ac:dyDescent="0.25">
      <c r="A19" s="7" t="s">
        <v>130</v>
      </c>
      <c r="B19" s="38">
        <f>Bills!$E$22</f>
        <v>2.272425249169435</v>
      </c>
      <c r="C19" s="17" t="s">
        <v>117</v>
      </c>
      <c r="D19" s="27" t="s">
        <v>72</v>
      </c>
      <c r="E19" s="39">
        <v>2</v>
      </c>
      <c r="F19" s="17" t="s">
        <v>131</v>
      </c>
      <c r="G19" s="17" t="s">
        <v>132</v>
      </c>
    </row>
    <row r="20" spans="1:1" x14ac:dyDescent="0.25">
      <c r="A20" s="18" t="s">
        <v>133</v>
      </c>
    </row>
    <row r="22" ht="18" customHeight="1" spans="1:7" x14ac:dyDescent="0.25">
      <c r="A22" s="5" t="s">
        <v>134</v>
      </c>
      <c r="B22" s="5"/>
      <c r="C22" s="5"/>
      <c r="D22" s="5"/>
      <c r="E22" s="5"/>
      <c r="F22" s="5"/>
      <c r="G22" s="5"/>
    </row>
    <row r="23" ht="20" customHeight="1" spans="1:7" x14ac:dyDescent="0.25">
      <c r="A23" s="15" t="s">
        <v>93</v>
      </c>
      <c r="B23" s="16" t="s">
        <v>94</v>
      </c>
      <c r="C23" s="16" t="s">
        <v>95</v>
      </c>
      <c r="D23" s="16" t="s">
        <v>96</v>
      </c>
      <c r="E23" s="16" t="s">
        <v>97</v>
      </c>
      <c r="F23" s="16" t="s">
        <v>98</v>
      </c>
      <c r="G23" s="16" t="s">
        <v>99</v>
      </c>
    </row>
    <row r="24" spans="1:7" x14ac:dyDescent="0.25">
      <c r="A24" s="7" t="s">
        <v>135</v>
      </c>
      <c r="B24" s="41">
        <v>0.1</v>
      </c>
      <c r="C24" s="17" t="s">
        <v>136</v>
      </c>
      <c r="D24" s="27" t="s">
        <v>72</v>
      </c>
      <c r="F24" s="17" t="s">
        <v>137</v>
      </c>
      <c r="G24" s="17" t="s">
        <v>138</v>
      </c>
    </row>
    <row r="25" spans="1:7" x14ac:dyDescent="0.25">
      <c r="A25" s="7" t="s">
        <v>139</v>
      </c>
      <c r="B25" s="41">
        <v>0.05</v>
      </c>
      <c r="C25" s="17" t="s">
        <v>136</v>
      </c>
      <c r="D25" s="27" t="s">
        <v>72</v>
      </c>
      <c r="F25" s="17" t="s">
        <v>140</v>
      </c>
      <c r="G25" s="17" t="s">
        <v>141</v>
      </c>
    </row>
    <row r="26" spans="1:7" x14ac:dyDescent="0.25">
      <c r="A26" s="7" t="s">
        <v>142</v>
      </c>
      <c r="B26" s="22" t="s">
        <v>143</v>
      </c>
      <c r="G26" s="17" t="s">
        <v>144</v>
      </c>
    </row>
    <row r="28" ht="18" customHeight="1" spans="1:7" x14ac:dyDescent="0.25">
      <c r="A28" s="5" t="s">
        <v>145</v>
      </c>
      <c r="B28" s="5"/>
      <c r="C28" s="5"/>
      <c r="D28" s="5"/>
      <c r="E28" s="5"/>
      <c r="F28" s="5"/>
      <c r="G28" s="5"/>
    </row>
    <row r="29" spans="1:1" x14ac:dyDescent="0.25">
      <c r="A29" s="18" t="s">
        <v>146</v>
      </c>
    </row>
  </sheetData>
  <conditionalFormatting sqref="B11">
    <cfRule type="expression" dxfId="0" priority="1">
      <formula>LEFT(B11,2)="OK"</formula>
    </cfRule>
    <cfRule type="expression" dxfId="1" priority="2">
      <formula>AND(B11&lt;&gt;"",LEFT(B11,2)&lt;&gt;"OK")</formula>
    </cfRule>
  </conditionalFormatting>
  <pageMargins left="0.45" right="0.45" top="0.7" bottom="0.6" header="0.3" footer="0.3"/>
  <pageSetup paperSize="9" orientation="landscape" horizontalDpi="4294967295" verticalDpi="4294967295" scale="100" fitToWidth="1" fitToHeight="0"/>
  <headerFooter>
    <oddHeader>&amp;L&amp;"Arial"&amp;8Advanced Energy Audit · Demo Foods (Pty) Ltd (fictional)&amp;R&amp;"Arial"&amp;8&amp;A</oddHeader>
    <oddFooter>&amp;L&amp;"Arial"&amp;8Thabiso Kali, Certified Energy Manager · Fictional demonstration&amp;R&amp;"Arial"&amp;8Page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7841A"/>
    <pageSetUpPr fitToPage="1"/>
  </sheetPr>
  <dimension ref="A1:P68"/>
  <sheetViews>
    <sheetView workbookViewId="0" showGridLines="0">
      <pane xSplit="2" ySplit="3" topLeftCell="C4" activePane="bottomRight" state="frozen"/>
      <selection pane="bottomRight"/>
    </sheetView>
  </sheetViews>
  <sheetFormatPr defaultRowHeight="15" outlineLevelRow="0" outlineLevelCol="0" x14ac:dyDescent="55"/>
  <cols>
    <col min="1" max="1" width="44" customWidth="1"/>
    <col min="2" max="2" width="12" customWidth="1"/>
    <col min="3" max="16" width="18" customWidth="1"/>
  </cols>
  <sheetData>
    <row r="1" ht="26" customHeight="1" spans="1:1" x14ac:dyDescent="0.25">
      <c r="A1" s="31" t="s">
        <v>147</v>
      </c>
    </row>
    <row r="2" spans="1:1" x14ac:dyDescent="0.25">
      <c r="A2" s="32" t="s">
        <v>148</v>
      </c>
    </row>
    <row r="3" spans="1:1" x14ac:dyDescent="0.25">
      <c r="A3" s="33" t="s">
        <v>91</v>
      </c>
    </row>
    <row r="5" ht="18" customHeight="1" spans="1:5" x14ac:dyDescent="0.25">
      <c r="A5" s="5" t="s">
        <v>149</v>
      </c>
      <c r="B5" s="5"/>
      <c r="C5" s="5"/>
      <c r="D5" s="5"/>
      <c r="E5" s="5"/>
    </row>
    <row r="6" ht="20" customHeight="1" spans="1:5" x14ac:dyDescent="0.25">
      <c r="A6" s="15" t="s">
        <v>150</v>
      </c>
      <c r="B6" s="16" t="s">
        <v>95</v>
      </c>
      <c r="C6" s="16" t="s">
        <v>151</v>
      </c>
      <c r="D6" s="16" t="s">
        <v>152</v>
      </c>
      <c r="E6" s="16" t="s">
        <v>153</v>
      </c>
    </row>
    <row r="7" ht="26" customHeight="1" spans="1:5" x14ac:dyDescent="0.25">
      <c r="A7" s="7" t="s">
        <v>154</v>
      </c>
      <c r="B7" s="42" t="s">
        <v>155</v>
      </c>
      <c r="C7" s="43" t="s">
        <v>156</v>
      </c>
      <c r="D7" s="43" t="s">
        <v>157</v>
      </c>
      <c r="E7" s="43" t="s">
        <v>158</v>
      </c>
    </row>
    <row r="8" spans="1:5" x14ac:dyDescent="0.25">
      <c r="A8" s="7" t="s">
        <v>159</v>
      </c>
      <c r="B8" s="42" t="s">
        <v>155</v>
      </c>
      <c r="C8" s="44" t="s">
        <v>160</v>
      </c>
      <c r="D8" s="44" t="s">
        <v>161</v>
      </c>
      <c r="E8" s="44" t="s">
        <v>162</v>
      </c>
    </row>
    <row r="9" spans="1:5" x14ac:dyDescent="0.25">
      <c r="A9" s="7" t="s">
        <v>163</v>
      </c>
      <c r="B9" s="42" t="s">
        <v>155</v>
      </c>
      <c r="C9" s="44" t="s">
        <v>164</v>
      </c>
      <c r="D9" s="44" t="s">
        <v>161</v>
      </c>
      <c r="E9" s="44" t="s">
        <v>162</v>
      </c>
    </row>
    <row r="10" spans="1:5" x14ac:dyDescent="0.25">
      <c r="A10" s="7" t="s">
        <v>165</v>
      </c>
      <c r="B10" s="42" t="s">
        <v>155</v>
      </c>
      <c r="C10" s="44" t="s">
        <v>166</v>
      </c>
      <c r="D10" s="44" t="s">
        <v>167</v>
      </c>
      <c r="E10" s="44" t="s">
        <v>168</v>
      </c>
    </row>
    <row r="11" spans="1:5" x14ac:dyDescent="0.25">
      <c r="A11" s="7" t="s">
        <v>169</v>
      </c>
      <c r="B11" s="42" t="s">
        <v>170</v>
      </c>
      <c r="C11" s="45">
        <v>1</v>
      </c>
      <c r="D11" s="45">
        <v>13.138888888888888</v>
      </c>
      <c r="E11" s="45">
        <v>10.033333333333333</v>
      </c>
    </row>
    <row r="12" spans="1:5" x14ac:dyDescent="0.25">
      <c r="A12" s="7" t="s">
        <v>171</v>
      </c>
      <c r="B12" s="42" t="s">
        <v>155</v>
      </c>
      <c r="C12" s="44" t="s">
        <v>172</v>
      </c>
      <c r="D12" s="44" t="s">
        <v>173</v>
      </c>
      <c r="E12" s="44" t="s">
        <v>173</v>
      </c>
    </row>
    <row r="13" spans="1:5" x14ac:dyDescent="0.25">
      <c r="A13" s="7" t="s">
        <v>174</v>
      </c>
      <c r="B13" s="42" t="s">
        <v>155</v>
      </c>
      <c r="C13" s="24" t="s">
        <v>66</v>
      </c>
      <c r="D13" s="27" t="s">
        <v>72</v>
      </c>
      <c r="E13" s="27" t="s">
        <v>72</v>
      </c>
    </row>
    <row r="14" spans="1:5" x14ac:dyDescent="0.25">
      <c r="A14" s="7" t="s">
        <v>175</v>
      </c>
      <c r="B14" s="42" t="s">
        <v>176</v>
      </c>
      <c r="C14" s="46">
        <f>COUNTIFS($A$33:$A$68,C6,$N$33:$N$68,1)</f>
        <v>12</v>
      </c>
      <c r="D14" s="46">
        <f>COUNTIFS($A$33:$A$68,D6,$N$33:$N$68,1)</f>
        <v>12</v>
      </c>
      <c r="E14" s="46">
        <f>COUNTIFS($A$33:$A$68,E6,$N$33:$N$68,1)</f>
        <v>12</v>
      </c>
    </row>
    <row r="15" spans="1:5" x14ac:dyDescent="0.25">
      <c r="A15" s="7" t="s">
        <v>177</v>
      </c>
      <c r="B15" s="42" t="s">
        <v>178</v>
      </c>
      <c r="C15" s="47">
        <f>SUMIFS($C$33:$C$68,$A$33:$A$68,C6,$N$33:$N$68,1)</f>
        <v>2945004</v>
      </c>
      <c r="D15" s="47">
        <f>SUMIFS($C$33:$C$68,$A$33:$A$68,D6,$N$33:$N$68,1)</f>
        <v>297001</v>
      </c>
      <c r="E15" s="47">
        <f>SUMIFS($C$33:$C$68,$A$33:$A$68,E6,$N$33:$N$68,1)</f>
        <v>6500</v>
      </c>
    </row>
    <row r="16" spans="1:5" x14ac:dyDescent="0.25">
      <c r="A16" s="7" t="s">
        <v>179</v>
      </c>
      <c r="B16" s="42" t="s">
        <v>180</v>
      </c>
      <c r="C16" s="48">
        <f>IF(C14=0,0,IF(C14&lt;12,12/C14,1))</f>
        <v>1</v>
      </c>
      <c r="D16" s="48">
        <f>IF(D14=0,0,IF(D14&lt;12,12/D14,1))</f>
        <v>1</v>
      </c>
      <c r="E16" s="48">
        <f>IF(E14=0,0,IF(E14&lt;12,12/E14,1))</f>
        <v>1</v>
      </c>
    </row>
    <row r="17" spans="1:5" x14ac:dyDescent="0.25">
      <c r="A17" s="6" t="s">
        <v>181</v>
      </c>
      <c r="B17" s="42" t="s">
        <v>182</v>
      </c>
      <c r="C17" s="49">
        <f>C15*C16*C11</f>
        <v>2945004</v>
      </c>
      <c r="D17" s="49">
        <f>D15*D16*D11</f>
        <v>3902263.1388888885</v>
      </c>
      <c r="E17" s="49">
        <f>E15*E16*E11</f>
        <v>65216.666666666664</v>
      </c>
    </row>
    <row r="18" spans="1:5" x14ac:dyDescent="0.25">
      <c r="A18" s="7" t="s">
        <v>183</v>
      </c>
      <c r="B18" s="42" t="s">
        <v>155</v>
      </c>
      <c r="C18" s="24" t="s">
        <v>66</v>
      </c>
      <c r="D18" s="27" t="s">
        <v>72</v>
      </c>
      <c r="E18" s="27" t="s">
        <v>72</v>
      </c>
    </row>
    <row r="19" spans="1:5" x14ac:dyDescent="0.25">
      <c r="A19" s="7" t="s">
        <v>184</v>
      </c>
      <c r="B19" s="42" t="s">
        <v>185</v>
      </c>
      <c r="C19" s="39">
        <v>2</v>
      </c>
      <c r="D19" s="39">
        <v>4.242640687119285</v>
      </c>
      <c r="E19" s="39">
        <v>5.830951894845301</v>
      </c>
    </row>
    <row r="20" spans="1:5" x14ac:dyDescent="0.25">
      <c r="A20" s="7" t="s">
        <v>186</v>
      </c>
      <c r="B20" s="42" t="s">
        <v>187</v>
      </c>
      <c r="C20" s="50">
        <f>SUMIFS($F$33:$F$68,$A$33:$A$68,C6,$N$33:$N$68,1)</f>
        <v>4407542.52</v>
      </c>
      <c r="D20" s="50">
        <f>SUMIFS($F$33:$F$68,$A$33:$A$68,D6,$N$33:$N$68,1)</f>
        <v>7276524.5</v>
      </c>
      <c r="E20" s="50">
        <f>SUMIFS($F$33:$F$68,$A$33:$A$68,E6,$N$33:$N$68,1)</f>
        <v>148200</v>
      </c>
    </row>
    <row r="21" spans="1:5" x14ac:dyDescent="0.25">
      <c r="A21" s="7" t="s">
        <v>188</v>
      </c>
      <c r="B21" s="42" t="s">
        <v>166</v>
      </c>
      <c r="C21" s="51">
        <f>C15*C11</f>
        <v>2945004</v>
      </c>
      <c r="D21" s="51">
        <f>D15*D11</f>
        <v>3902263.1388888885</v>
      </c>
      <c r="E21" s="51">
        <f>E15*E11</f>
        <v>65216.666666666664</v>
      </c>
    </row>
    <row r="22" spans="1:5" x14ac:dyDescent="0.25">
      <c r="A22" s="6" t="s">
        <v>189</v>
      </c>
      <c r="B22" s="42" t="s">
        <v>117</v>
      </c>
      <c r="C22" s="52">
        <f>IF(AND(C21&gt;0,C20&gt;0),C20/C21,0)</f>
        <v>1.4966168195357288</v>
      </c>
      <c r="D22" s="52">
        <f>IF(AND(D21&gt;0,D20&gt;0),D20/D21,0)</f>
        <v>1.8646934460887952</v>
      </c>
      <c r="E22" s="52">
        <f>IF(AND(E21&gt;0,E20&gt;0),E20/E21,0)</f>
        <v>2.2724252491694354</v>
      </c>
    </row>
    <row r="23" spans="1:5" x14ac:dyDescent="0.25">
      <c r="A23" s="7" t="s">
        <v>190</v>
      </c>
      <c r="B23" s="42" t="s">
        <v>187</v>
      </c>
      <c r="C23" s="50">
        <f>SUMIFS($G$33:$G$68,$A$33:$A$68,C6,$N$33:$N$68,1,$O$33:$O$68,1)</f>
        <v>273882</v>
      </c>
      <c r="D23" s="50">
        <f>SUMIFS($G$33:$G$68,$A$33:$A$68,D6,$N$33:$N$68,1,$O$33:$O$68,1)</f>
        <v>0</v>
      </c>
      <c r="E23" s="50">
        <f>SUMIFS($G$33:$G$68,$A$33:$A$68,E6,$N$33:$N$68,1,$O$33:$O$68,1)</f>
        <v>0</v>
      </c>
    </row>
    <row r="24" spans="1:5" x14ac:dyDescent="0.25">
      <c r="A24" s="7" t="s">
        <v>191</v>
      </c>
      <c r="B24" s="42" t="s">
        <v>192</v>
      </c>
      <c r="C24" s="53">
        <f>SUMIFS($K$33:$K$68,$A$33:$A$68,C6,$N$33:$N$68,1,$O$33:$O$68,1)</f>
        <v>6521</v>
      </c>
      <c r="D24" s="53">
        <f>SUMIFS($K$33:$K$68,$A$33:$A$68,D6,$N$33:$N$68,1,$O$33:$O$68,1)</f>
        <v>0</v>
      </c>
      <c r="E24" s="53">
        <f>SUMIFS($K$33:$K$68,$A$33:$A$68,E6,$N$33:$N$68,1,$O$33:$O$68,1)</f>
        <v>0</v>
      </c>
    </row>
    <row r="25" spans="1:5" x14ac:dyDescent="0.25">
      <c r="A25" s="7" t="s">
        <v>193</v>
      </c>
      <c r="B25" s="42" t="s">
        <v>121</v>
      </c>
      <c r="C25" s="54">
        <f>IF(C24&gt;0,C23/C24,0)</f>
        <v>42</v>
      </c>
      <c r="D25" s="54">
        <f>IF(D24&gt;0,D23/D24,0)</f>
        <v>0</v>
      </c>
      <c r="E25" s="54">
        <f>IF(E24&gt;0,E23/E24,0)</f>
        <v>0</v>
      </c>
    </row>
    <row r="26" spans="1:5" x14ac:dyDescent="0.25">
      <c r="A26" s="7" t="s">
        <v>194</v>
      </c>
      <c r="B26" s="42" t="s">
        <v>187</v>
      </c>
      <c r="C26" s="50">
        <f>SUMIFS($H$33:$H$68,$A$33:$A$68,C6,$N$33:$N$68,1)</f>
        <v>187200</v>
      </c>
      <c r="D26" s="50">
        <f>SUMIFS($H$33:$H$68,$A$33:$A$68,D6,$N$33:$N$68,1)</f>
        <v>0</v>
      </c>
      <c r="E26" s="50">
        <f>SUMIFS($H$33:$H$68,$A$33:$A$68,E6,$N$33:$N$68,1)</f>
        <v>0</v>
      </c>
    </row>
    <row r="27" spans="1:5" x14ac:dyDescent="0.25">
      <c r="A27" s="7" t="s">
        <v>195</v>
      </c>
      <c r="B27" s="42" t="s">
        <v>192</v>
      </c>
      <c r="C27" s="55">
        <v>650</v>
      </c>
      <c r="D27" s="55"/>
      <c r="E27" s="55"/>
    </row>
    <row r="28" spans="1:5" x14ac:dyDescent="0.25">
      <c r="A28" s="7" t="s">
        <v>196</v>
      </c>
      <c r="B28" s="42" t="s">
        <v>121</v>
      </c>
      <c r="C28" s="54">
        <f>IF(AND(N(C27)&gt;0,C26&gt;0),C26/(C27*C14),0)</f>
        <v>24</v>
      </c>
      <c r="D28" s="54">
        <f>IF(AND(N(D27)&gt;0,D26&gt;0),D26/(D27*D14),0)</f>
        <v>0</v>
      </c>
      <c r="E28" s="54">
        <f>IF(AND(N(E27)&gt;0,E26&gt;0),E26/(E27*E14),0)</f>
        <v>0</v>
      </c>
    </row>
    <row r="29" spans="1:5" x14ac:dyDescent="0.25">
      <c r="A29" s="7" t="s">
        <v>197</v>
      </c>
      <c r="B29" s="42" t="s">
        <v>187</v>
      </c>
      <c r="C29" s="50">
        <f>SUMIFS($J$33:$J$68,$A$33:$A$68,C6,$N$33:$N$68,1)</f>
        <v>4907024.52</v>
      </c>
      <c r="D29" s="50">
        <f>SUMIFS($J$33:$J$68,$A$33:$A$68,D6,$N$33:$N$68,1)</f>
        <v>7276524.5</v>
      </c>
      <c r="E29" s="50">
        <f>SUMIFS($J$33:$J$68,$A$33:$A$68,E6,$N$33:$N$68,1)</f>
        <v>148200</v>
      </c>
    </row>
    <row r="31" ht="18" customHeight="1" spans="1:16" x14ac:dyDescent="0.25">
      <c r="A31" s="5" t="s">
        <v>198</v>
      </c>
      <c r="B31" s="5"/>
      <c r="C31" s="5"/>
      <c r="D31" s="5"/>
      <c r="E31" s="5"/>
      <c r="F31" s="5"/>
      <c r="G31" s="5"/>
      <c r="H31" s="5"/>
      <c r="I31" s="5"/>
      <c r="J31" s="5"/>
      <c r="K31" s="5"/>
      <c r="L31" s="5"/>
      <c r="M31" s="5"/>
      <c r="N31" s="5"/>
      <c r="O31" s="5"/>
      <c r="P31" s="5"/>
    </row>
    <row r="32" ht="44" customHeight="1" spans="1:16" x14ac:dyDescent="0.25">
      <c r="A32" s="15" t="s">
        <v>199</v>
      </c>
      <c r="B32" s="16" t="s">
        <v>200</v>
      </c>
      <c r="C32" s="16" t="s">
        <v>201</v>
      </c>
      <c r="D32" s="16" t="s">
        <v>95</v>
      </c>
      <c r="E32" s="16" t="s">
        <v>202</v>
      </c>
      <c r="F32" s="16" t="s">
        <v>203</v>
      </c>
      <c r="G32" s="16" t="s">
        <v>204</v>
      </c>
      <c r="H32" s="16" t="s">
        <v>205</v>
      </c>
      <c r="I32" s="16" t="s">
        <v>206</v>
      </c>
      <c r="J32" s="16" t="s">
        <v>207</v>
      </c>
      <c r="K32" s="16" t="s">
        <v>208</v>
      </c>
      <c r="L32" s="16" t="s">
        <v>209</v>
      </c>
      <c r="M32" s="16" t="s">
        <v>210</v>
      </c>
      <c r="N32" s="16" t="s">
        <v>211</v>
      </c>
      <c r="O32" s="16" t="s">
        <v>212</v>
      </c>
      <c r="P32" s="16" t="s">
        <v>213</v>
      </c>
    </row>
    <row r="33" spans="1:16" x14ac:dyDescent="0.25">
      <c r="A33" s="7" t="s">
        <v>151</v>
      </c>
      <c r="B33" s="19" t="s">
        <v>214</v>
      </c>
      <c r="C33" s="56">
        <v>237392</v>
      </c>
      <c r="D33" s="20" t="s">
        <v>166</v>
      </c>
      <c r="E33" s="24" t="s">
        <v>66</v>
      </c>
      <c r="F33" s="57">
        <v>521788.64</v>
      </c>
      <c r="G33" s="57">
        <v>21630</v>
      </c>
      <c r="H33" s="57">
        <v>15600</v>
      </c>
      <c r="I33" s="57">
        <v>3200</v>
      </c>
      <c r="J33" s="57">
        <v>562218.64</v>
      </c>
      <c r="K33" s="55">
        <v>515</v>
      </c>
      <c r="L33" s="55">
        <v>443</v>
      </c>
      <c r="M33" s="58">
        <f>IF(AND(N(K33)&gt;0,N(L33)&gt;0),L33/K33,"")</f>
        <v>0.8601941747572815</v>
      </c>
      <c r="N33" s="59">
        <v>1</v>
      </c>
      <c r="O33" s="59">
        <v>1</v>
      </c>
      <c r="P33" s="17" t="s">
        <v>155</v>
      </c>
    </row>
    <row r="34" spans="1:16" x14ac:dyDescent="0.25">
      <c r="A34" s="7" t="s">
        <v>151</v>
      </c>
      <c r="B34" s="19" t="s">
        <v>215</v>
      </c>
      <c r="C34" s="56">
        <v>227192</v>
      </c>
      <c r="D34" s="20" t="s">
        <v>166</v>
      </c>
      <c r="E34" s="24" t="s">
        <v>66</v>
      </c>
      <c r="F34" s="57">
        <v>499369.04</v>
      </c>
      <c r="G34" s="57">
        <v>20706</v>
      </c>
      <c r="H34" s="57">
        <v>15600</v>
      </c>
      <c r="I34" s="57">
        <v>3200</v>
      </c>
      <c r="J34" s="57">
        <v>538875.04</v>
      </c>
      <c r="K34" s="55">
        <v>493</v>
      </c>
      <c r="L34" s="55">
        <v>424</v>
      </c>
      <c r="M34" s="58">
        <f>IF(AND(N(K34)&gt;0,N(L34)&gt;0),L34/K34,"")</f>
        <v>0.8600405679513184</v>
      </c>
      <c r="N34" s="59">
        <v>1</v>
      </c>
      <c r="O34" s="59">
        <v>1</v>
      </c>
      <c r="P34" s="17" t="s">
        <v>155</v>
      </c>
    </row>
    <row r="35" spans="1:16" x14ac:dyDescent="0.25">
      <c r="A35" s="7" t="s">
        <v>151</v>
      </c>
      <c r="B35" s="19" t="s">
        <v>216</v>
      </c>
      <c r="C35" s="56">
        <v>239492</v>
      </c>
      <c r="D35" s="20" t="s">
        <v>166</v>
      </c>
      <c r="E35" s="24" t="s">
        <v>66</v>
      </c>
      <c r="F35" s="57">
        <v>306358.24</v>
      </c>
      <c r="G35" s="57">
        <v>22302</v>
      </c>
      <c r="H35" s="57">
        <v>15600</v>
      </c>
      <c r="I35" s="57">
        <v>3200</v>
      </c>
      <c r="J35" s="57">
        <v>347460.24</v>
      </c>
      <c r="K35" s="55">
        <v>531</v>
      </c>
      <c r="L35" s="55">
        <v>462</v>
      </c>
      <c r="M35" s="58">
        <f>IF(AND(N(K35)&gt;0,N(L35)&gt;0),L35/K35,"")</f>
        <v>0.8700564971751412</v>
      </c>
      <c r="N35" s="59">
        <v>1</v>
      </c>
      <c r="O35" s="59">
        <v>1</v>
      </c>
      <c r="P35" s="17" t="s">
        <v>155</v>
      </c>
    </row>
    <row r="36" spans="1:16" x14ac:dyDescent="0.25">
      <c r="A36" s="7" t="s">
        <v>151</v>
      </c>
      <c r="B36" s="19" t="s">
        <v>217</v>
      </c>
      <c r="C36" s="56">
        <v>246692</v>
      </c>
      <c r="D36" s="20" t="s">
        <v>166</v>
      </c>
      <c r="E36" s="24" t="s">
        <v>66</v>
      </c>
      <c r="F36" s="57">
        <v>315568.48</v>
      </c>
      <c r="G36" s="57">
        <v>22512</v>
      </c>
      <c r="H36" s="57">
        <v>15600</v>
      </c>
      <c r="I36" s="57">
        <v>3200</v>
      </c>
      <c r="J36" s="57">
        <v>356880.48</v>
      </c>
      <c r="K36" s="55">
        <v>536</v>
      </c>
      <c r="L36" s="55">
        <v>461</v>
      </c>
      <c r="M36" s="58">
        <f>IF(AND(N(K36)&gt;0,N(L36)&gt;0),L36/K36,"")</f>
        <v>0.8600746268656716</v>
      </c>
      <c r="N36" s="59">
        <v>1</v>
      </c>
      <c r="O36" s="59">
        <v>1</v>
      </c>
      <c r="P36" s="17" t="s">
        <v>155</v>
      </c>
    </row>
    <row r="37" spans="1:16" x14ac:dyDescent="0.25">
      <c r="A37" s="7" t="s">
        <v>151</v>
      </c>
      <c r="B37" s="19" t="s">
        <v>218</v>
      </c>
      <c r="C37" s="56">
        <v>263792</v>
      </c>
      <c r="D37" s="20" t="s">
        <v>166</v>
      </c>
      <c r="E37" s="24" t="s">
        <v>66</v>
      </c>
      <c r="F37" s="57">
        <v>337442.8</v>
      </c>
      <c r="G37" s="57">
        <v>25158</v>
      </c>
      <c r="H37" s="57">
        <v>15600</v>
      </c>
      <c r="I37" s="57">
        <v>3200</v>
      </c>
      <c r="J37" s="57">
        <v>381400.8</v>
      </c>
      <c r="K37" s="55">
        <v>599</v>
      </c>
      <c r="L37" s="55">
        <v>509</v>
      </c>
      <c r="M37" s="58">
        <f>IF(AND(N(K37)&gt;0,N(L37)&gt;0),L37/K37,"")</f>
        <v>0.8497495826377296</v>
      </c>
      <c r="N37" s="59">
        <v>1</v>
      </c>
      <c r="O37" s="59">
        <v>1</v>
      </c>
      <c r="P37" s="17" t="s">
        <v>155</v>
      </c>
    </row>
    <row r="38" spans="1:16" x14ac:dyDescent="0.25">
      <c r="A38" s="7" t="s">
        <v>151</v>
      </c>
      <c r="B38" s="19" t="s">
        <v>219</v>
      </c>
      <c r="C38" s="56">
        <v>268892</v>
      </c>
      <c r="D38" s="20" t="s">
        <v>166</v>
      </c>
      <c r="E38" s="24" t="s">
        <v>66</v>
      </c>
      <c r="F38" s="57">
        <v>343966.72</v>
      </c>
      <c r="G38" s="57">
        <v>24528</v>
      </c>
      <c r="H38" s="57">
        <v>15600</v>
      </c>
      <c r="I38" s="57">
        <v>3200</v>
      </c>
      <c r="J38" s="57">
        <v>387294.72</v>
      </c>
      <c r="K38" s="55">
        <v>584</v>
      </c>
      <c r="L38" s="55">
        <v>502</v>
      </c>
      <c r="M38" s="58">
        <f>IF(AND(N(K38)&gt;0,N(L38)&gt;0),L38/K38,"")</f>
        <v>0.8595890410958904</v>
      </c>
      <c r="N38" s="59">
        <v>1</v>
      </c>
      <c r="O38" s="59">
        <v>1</v>
      </c>
      <c r="P38" s="17" t="s">
        <v>155</v>
      </c>
    </row>
    <row r="39" spans="1:16" x14ac:dyDescent="0.25">
      <c r="A39" s="7" t="s">
        <v>151</v>
      </c>
      <c r="B39" s="19" t="s">
        <v>220</v>
      </c>
      <c r="C39" s="56">
        <v>248792</v>
      </c>
      <c r="D39" s="20" t="s">
        <v>166</v>
      </c>
      <c r="E39" s="24" t="s">
        <v>66</v>
      </c>
      <c r="F39" s="57">
        <v>318254.8</v>
      </c>
      <c r="G39" s="57">
        <v>22386</v>
      </c>
      <c r="H39" s="57">
        <v>15600</v>
      </c>
      <c r="I39" s="57">
        <v>3200</v>
      </c>
      <c r="J39" s="57">
        <v>359440.8</v>
      </c>
      <c r="K39" s="55">
        <v>533</v>
      </c>
      <c r="L39" s="55">
        <v>464</v>
      </c>
      <c r="M39" s="58">
        <f>IF(AND(N(K39)&gt;0,N(L39)&gt;0),L39/K39,"")</f>
        <v>0.8705440900562852</v>
      </c>
      <c r="N39" s="59">
        <v>1</v>
      </c>
      <c r="O39" s="59">
        <v>1</v>
      </c>
      <c r="P39" s="17" t="s">
        <v>155</v>
      </c>
    </row>
    <row r="40" spans="1:16" x14ac:dyDescent="0.25">
      <c r="A40" s="7" t="s">
        <v>151</v>
      </c>
      <c r="B40" s="19" t="s">
        <v>221</v>
      </c>
      <c r="C40" s="56">
        <v>260192</v>
      </c>
      <c r="D40" s="20" t="s">
        <v>166</v>
      </c>
      <c r="E40" s="24" t="s">
        <v>66</v>
      </c>
      <c r="F40" s="57">
        <v>332837.68</v>
      </c>
      <c r="G40" s="57">
        <v>26292</v>
      </c>
      <c r="H40" s="57">
        <v>15600</v>
      </c>
      <c r="I40" s="57">
        <v>3200</v>
      </c>
      <c r="J40" s="57">
        <v>377929.68</v>
      </c>
      <c r="K40" s="55">
        <v>626</v>
      </c>
      <c r="L40" s="55">
        <v>538</v>
      </c>
      <c r="M40" s="58">
        <f>IF(AND(N(K40)&gt;0,N(L40)&gt;0),L40/K40,"")</f>
        <v>0.8594249201277955</v>
      </c>
      <c r="N40" s="59">
        <v>1</v>
      </c>
      <c r="O40" s="59">
        <v>1</v>
      </c>
      <c r="P40" s="17" t="s">
        <v>155</v>
      </c>
    </row>
    <row r="41" spans="1:16" x14ac:dyDescent="0.25">
      <c r="A41" s="7" t="s">
        <v>151</v>
      </c>
      <c r="B41" s="19" t="s">
        <v>222</v>
      </c>
      <c r="C41" s="56">
        <v>248192</v>
      </c>
      <c r="D41" s="20" t="s">
        <v>166</v>
      </c>
      <c r="E41" s="24" t="s">
        <v>66</v>
      </c>
      <c r="F41" s="57">
        <v>317487.28</v>
      </c>
      <c r="G41" s="57">
        <v>22890</v>
      </c>
      <c r="H41" s="57">
        <v>15600</v>
      </c>
      <c r="I41" s="57">
        <v>3200</v>
      </c>
      <c r="J41" s="57">
        <v>359177.28</v>
      </c>
      <c r="K41" s="55">
        <v>545</v>
      </c>
      <c r="L41" s="55">
        <v>463</v>
      </c>
      <c r="M41" s="58">
        <f>IF(AND(N(K41)&gt;0,N(L41)&gt;0),L41/K41,"")</f>
        <v>0.8495412844036697</v>
      </c>
      <c r="N41" s="59">
        <v>1</v>
      </c>
      <c r="O41" s="59">
        <v>1</v>
      </c>
      <c r="P41" s="17" t="s">
        <v>155</v>
      </c>
    </row>
    <row r="42" spans="1:16" x14ac:dyDescent="0.25">
      <c r="A42" s="7" t="s">
        <v>151</v>
      </c>
      <c r="B42" s="19" t="s">
        <v>223</v>
      </c>
      <c r="C42" s="56">
        <v>240392</v>
      </c>
      <c r="D42" s="20" t="s">
        <v>166</v>
      </c>
      <c r="E42" s="24" t="s">
        <v>66</v>
      </c>
      <c r="F42" s="57">
        <v>307509.52</v>
      </c>
      <c r="G42" s="57">
        <v>22680</v>
      </c>
      <c r="H42" s="57">
        <v>15600</v>
      </c>
      <c r="I42" s="57">
        <v>3200</v>
      </c>
      <c r="J42" s="57">
        <v>348989.52</v>
      </c>
      <c r="K42" s="55">
        <v>540</v>
      </c>
      <c r="L42" s="55">
        <v>464</v>
      </c>
      <c r="M42" s="58">
        <f>IF(AND(N(K42)&gt;0,N(L42)&gt;0),L42/K42,"")</f>
        <v>0.8592592592592593</v>
      </c>
      <c r="N42" s="59">
        <v>1</v>
      </c>
      <c r="O42" s="59">
        <v>1</v>
      </c>
      <c r="P42" s="17" t="s">
        <v>155</v>
      </c>
    </row>
    <row r="43" spans="1:16" x14ac:dyDescent="0.25">
      <c r="A43" s="7" t="s">
        <v>151</v>
      </c>
      <c r="B43" s="19" t="s">
        <v>224</v>
      </c>
      <c r="C43" s="56">
        <v>231692</v>
      </c>
      <c r="D43" s="20" t="s">
        <v>166</v>
      </c>
      <c r="E43" s="24" t="s">
        <v>66</v>
      </c>
      <c r="F43" s="57">
        <v>296380.48</v>
      </c>
      <c r="G43" s="57">
        <v>20916</v>
      </c>
      <c r="H43" s="57">
        <v>15600</v>
      </c>
      <c r="I43" s="57">
        <v>3200</v>
      </c>
      <c r="J43" s="57">
        <v>336096.48</v>
      </c>
      <c r="K43" s="55">
        <v>498</v>
      </c>
      <c r="L43" s="55">
        <v>433</v>
      </c>
      <c r="M43" s="58">
        <f>IF(AND(N(K43)&gt;0,N(L43)&gt;0),L43/K43,"")</f>
        <v>0.8694779116465864</v>
      </c>
      <c r="N43" s="59">
        <v>1</v>
      </c>
      <c r="O43" s="59">
        <v>1</v>
      </c>
      <c r="P43" s="17" t="s">
        <v>155</v>
      </c>
    </row>
    <row r="44" spans="1:16" x14ac:dyDescent="0.25">
      <c r="A44" s="7" t="s">
        <v>151</v>
      </c>
      <c r="B44" s="19" t="s">
        <v>225</v>
      </c>
      <c r="C44" s="56">
        <v>232292</v>
      </c>
      <c r="D44" s="20" t="s">
        <v>166</v>
      </c>
      <c r="E44" s="24" t="s">
        <v>66</v>
      </c>
      <c r="F44" s="57">
        <v>510578.84</v>
      </c>
      <c r="G44" s="57">
        <v>21882</v>
      </c>
      <c r="H44" s="57">
        <v>15600</v>
      </c>
      <c r="I44" s="57">
        <v>3200</v>
      </c>
      <c r="J44" s="57">
        <v>551260.84</v>
      </c>
      <c r="K44" s="55">
        <v>521</v>
      </c>
      <c r="L44" s="55">
        <v>448</v>
      </c>
      <c r="M44" s="58">
        <f>IF(AND(N(K44)&gt;0,N(L44)&gt;0),L44/K44,"")</f>
        <v>0.8598848368522073</v>
      </c>
      <c r="N44" s="59">
        <v>1</v>
      </c>
      <c r="O44" s="59">
        <v>1</v>
      </c>
      <c r="P44" s="17" t="s">
        <v>155</v>
      </c>
    </row>
    <row r="45" spans="1:16" x14ac:dyDescent="0.25">
      <c r="A45" s="7" t="s">
        <v>152</v>
      </c>
      <c r="B45" s="19" t="s">
        <v>214</v>
      </c>
      <c r="C45" s="56">
        <v>24027</v>
      </c>
      <c r="D45" s="20" t="s">
        <v>167</v>
      </c>
      <c r="E45" s="24" t="s">
        <v>66</v>
      </c>
      <c r="F45" s="57">
        <v>588661.5</v>
      </c>
      <c r="G45" s="57"/>
      <c r="H45" s="57"/>
      <c r="I45" s="57"/>
      <c r="J45" s="57">
        <v>588661.5</v>
      </c>
      <c r="K45" s="55"/>
      <c r="L45" s="55"/>
      <c r="M45" s="58" t="str">
        <f>IF(AND(N(K45)&gt;0,N(L45)&gt;0),L45/K45,"")</f>
        <v/>
      </c>
      <c r="N45" s="59">
        <v>1</v>
      </c>
      <c r="O45" s="59">
        <v>0</v>
      </c>
      <c r="P45" s="17" t="s">
        <v>226</v>
      </c>
    </row>
    <row r="46" spans="1:16" x14ac:dyDescent="0.25">
      <c r="A46" s="7" t="s">
        <v>152</v>
      </c>
      <c r="B46" s="19" t="s">
        <v>215</v>
      </c>
      <c r="C46" s="56">
        <v>25397</v>
      </c>
      <c r="D46" s="20" t="s">
        <v>167</v>
      </c>
      <c r="E46" s="24" t="s">
        <v>66</v>
      </c>
      <c r="F46" s="57">
        <v>622226.5</v>
      </c>
      <c r="G46" s="57"/>
      <c r="H46" s="57"/>
      <c r="I46" s="57"/>
      <c r="J46" s="57">
        <v>622226.5</v>
      </c>
      <c r="K46" s="55"/>
      <c r="L46" s="55"/>
      <c r="M46" s="58" t="str">
        <f>IF(AND(N(K46)&gt;0,N(L46)&gt;0),L46/K46,"")</f>
        <v/>
      </c>
      <c r="N46" s="59">
        <v>1</v>
      </c>
      <c r="O46" s="59">
        <v>0</v>
      </c>
      <c r="P46" s="17" t="s">
        <v>226</v>
      </c>
    </row>
    <row r="47" spans="1:16" x14ac:dyDescent="0.25">
      <c r="A47" s="7" t="s">
        <v>152</v>
      </c>
      <c r="B47" s="19" t="s">
        <v>216</v>
      </c>
      <c r="C47" s="56">
        <v>24560</v>
      </c>
      <c r="D47" s="20" t="s">
        <v>167</v>
      </c>
      <c r="E47" s="24" t="s">
        <v>66</v>
      </c>
      <c r="F47" s="57">
        <v>601720</v>
      </c>
      <c r="G47" s="57"/>
      <c r="H47" s="57"/>
      <c r="I47" s="57"/>
      <c r="J47" s="57">
        <v>601720</v>
      </c>
      <c r="K47" s="55"/>
      <c r="L47" s="55"/>
      <c r="M47" s="58" t="str">
        <f>IF(AND(N(K47)&gt;0,N(L47)&gt;0),L47/K47,"")</f>
        <v/>
      </c>
      <c r="N47" s="59">
        <v>1</v>
      </c>
      <c r="O47" s="59">
        <v>0</v>
      </c>
      <c r="P47" s="17" t="s">
        <v>226</v>
      </c>
    </row>
    <row r="48" spans="1:16" x14ac:dyDescent="0.25">
      <c r="A48" s="7" t="s">
        <v>152</v>
      </c>
      <c r="B48" s="19" t="s">
        <v>217</v>
      </c>
      <c r="C48" s="56">
        <v>24636</v>
      </c>
      <c r="D48" s="20" t="s">
        <v>167</v>
      </c>
      <c r="E48" s="24" t="s">
        <v>66</v>
      </c>
      <c r="F48" s="57">
        <v>603582</v>
      </c>
      <c r="G48" s="57"/>
      <c r="H48" s="57"/>
      <c r="I48" s="57"/>
      <c r="J48" s="57">
        <v>603582</v>
      </c>
      <c r="K48" s="55"/>
      <c r="L48" s="55"/>
      <c r="M48" s="58" t="str">
        <f>IF(AND(N(K48)&gt;0,N(L48)&gt;0),L48/K48,"")</f>
        <v/>
      </c>
      <c r="N48" s="59">
        <v>1</v>
      </c>
      <c r="O48" s="59">
        <v>0</v>
      </c>
      <c r="P48" s="17" t="s">
        <v>226</v>
      </c>
    </row>
    <row r="49" spans="1:16" x14ac:dyDescent="0.25">
      <c r="A49" s="7" t="s">
        <v>152</v>
      </c>
      <c r="B49" s="19" t="s">
        <v>218</v>
      </c>
      <c r="C49" s="56">
        <v>26462</v>
      </c>
      <c r="D49" s="20" t="s">
        <v>167</v>
      </c>
      <c r="E49" s="24" t="s">
        <v>66</v>
      </c>
      <c r="F49" s="57">
        <v>648319</v>
      </c>
      <c r="G49" s="57"/>
      <c r="H49" s="57"/>
      <c r="I49" s="57"/>
      <c r="J49" s="57">
        <v>648319</v>
      </c>
      <c r="K49" s="55"/>
      <c r="L49" s="55"/>
      <c r="M49" s="58" t="str">
        <f>IF(AND(N(K49)&gt;0,N(L49)&gt;0),L49/K49,"")</f>
        <v/>
      </c>
      <c r="N49" s="59">
        <v>1</v>
      </c>
      <c r="O49" s="59">
        <v>0</v>
      </c>
      <c r="P49" s="17" t="s">
        <v>226</v>
      </c>
    </row>
    <row r="50" spans="1:16" x14ac:dyDescent="0.25">
      <c r="A50" s="7" t="s">
        <v>152</v>
      </c>
      <c r="B50" s="19" t="s">
        <v>219</v>
      </c>
      <c r="C50" s="56">
        <v>26767</v>
      </c>
      <c r="D50" s="20" t="s">
        <v>167</v>
      </c>
      <c r="E50" s="24" t="s">
        <v>66</v>
      </c>
      <c r="F50" s="57">
        <v>655791.5</v>
      </c>
      <c r="G50" s="57"/>
      <c r="H50" s="57"/>
      <c r="I50" s="57"/>
      <c r="J50" s="57">
        <v>655791.5</v>
      </c>
      <c r="K50" s="55"/>
      <c r="L50" s="55"/>
      <c r="M50" s="58" t="str">
        <f>IF(AND(N(K50)&gt;0,N(L50)&gt;0),L50/K50,"")</f>
        <v/>
      </c>
      <c r="N50" s="59">
        <v>1</v>
      </c>
      <c r="O50" s="59">
        <v>0</v>
      </c>
      <c r="P50" s="17" t="s">
        <v>226</v>
      </c>
    </row>
    <row r="51" spans="1:16" x14ac:dyDescent="0.25">
      <c r="A51" s="7" t="s">
        <v>152</v>
      </c>
      <c r="B51" s="19" t="s">
        <v>220</v>
      </c>
      <c r="C51" s="56">
        <v>22505</v>
      </c>
      <c r="D51" s="20" t="s">
        <v>167</v>
      </c>
      <c r="E51" s="24" t="s">
        <v>66</v>
      </c>
      <c r="F51" s="57">
        <v>551372.5</v>
      </c>
      <c r="G51" s="57"/>
      <c r="H51" s="57"/>
      <c r="I51" s="57"/>
      <c r="J51" s="57">
        <v>551372.5</v>
      </c>
      <c r="K51" s="55"/>
      <c r="L51" s="55"/>
      <c r="M51" s="58" t="str">
        <f>IF(AND(N(K51)&gt;0,N(L51)&gt;0),L51/K51,"")</f>
        <v/>
      </c>
      <c r="N51" s="59">
        <v>1</v>
      </c>
      <c r="O51" s="59">
        <v>0</v>
      </c>
      <c r="P51" s="17" t="s">
        <v>226</v>
      </c>
    </row>
    <row r="52" spans="1:16" x14ac:dyDescent="0.25">
      <c r="A52" s="7" t="s">
        <v>152</v>
      </c>
      <c r="B52" s="19" t="s">
        <v>221</v>
      </c>
      <c r="C52" s="56">
        <v>24179</v>
      </c>
      <c r="D52" s="20" t="s">
        <v>167</v>
      </c>
      <c r="E52" s="24" t="s">
        <v>66</v>
      </c>
      <c r="F52" s="57">
        <v>592385.5</v>
      </c>
      <c r="G52" s="57"/>
      <c r="H52" s="57"/>
      <c r="I52" s="57"/>
      <c r="J52" s="57">
        <v>592385.5</v>
      </c>
      <c r="K52" s="55"/>
      <c r="L52" s="55"/>
      <c r="M52" s="58" t="str">
        <f>IF(AND(N(K52)&gt;0,N(L52)&gt;0),L52/K52,"")</f>
        <v/>
      </c>
      <c r="N52" s="59">
        <v>1</v>
      </c>
      <c r="O52" s="59">
        <v>0</v>
      </c>
      <c r="P52" s="17" t="s">
        <v>226</v>
      </c>
    </row>
    <row r="53" spans="1:16" x14ac:dyDescent="0.25">
      <c r="A53" s="7" t="s">
        <v>152</v>
      </c>
      <c r="B53" s="19" t="s">
        <v>222</v>
      </c>
      <c r="C53" s="56">
        <v>24484</v>
      </c>
      <c r="D53" s="20" t="s">
        <v>167</v>
      </c>
      <c r="E53" s="24" t="s">
        <v>66</v>
      </c>
      <c r="F53" s="57">
        <v>599858</v>
      </c>
      <c r="G53" s="57"/>
      <c r="H53" s="57"/>
      <c r="I53" s="57"/>
      <c r="J53" s="57">
        <v>599858</v>
      </c>
      <c r="K53" s="55"/>
      <c r="L53" s="55"/>
      <c r="M53" s="58" t="str">
        <f>IF(AND(N(K53)&gt;0,N(L53)&gt;0),L53/K53,"")</f>
        <v/>
      </c>
      <c r="N53" s="59">
        <v>1</v>
      </c>
      <c r="O53" s="59">
        <v>0</v>
      </c>
      <c r="P53" s="17" t="s">
        <v>226</v>
      </c>
    </row>
    <row r="54" spans="1:16" x14ac:dyDescent="0.25">
      <c r="A54" s="7" t="s">
        <v>152</v>
      </c>
      <c r="B54" s="19" t="s">
        <v>223</v>
      </c>
      <c r="C54" s="56">
        <v>24940</v>
      </c>
      <c r="D54" s="20" t="s">
        <v>167</v>
      </c>
      <c r="E54" s="24" t="s">
        <v>66</v>
      </c>
      <c r="F54" s="57">
        <v>611030</v>
      </c>
      <c r="G54" s="57"/>
      <c r="H54" s="57"/>
      <c r="I54" s="57"/>
      <c r="J54" s="57">
        <v>611030</v>
      </c>
      <c r="K54" s="55"/>
      <c r="L54" s="55"/>
      <c r="M54" s="58" t="str">
        <f>IF(AND(N(K54)&gt;0,N(L54)&gt;0),L54/K54,"")</f>
        <v/>
      </c>
      <c r="N54" s="59">
        <v>1</v>
      </c>
      <c r="O54" s="59">
        <v>0</v>
      </c>
      <c r="P54" s="17" t="s">
        <v>226</v>
      </c>
    </row>
    <row r="55" spans="1:16" x14ac:dyDescent="0.25">
      <c r="A55" s="7" t="s">
        <v>152</v>
      </c>
      <c r="B55" s="19" t="s">
        <v>224</v>
      </c>
      <c r="C55" s="56">
        <v>24408</v>
      </c>
      <c r="D55" s="20" t="s">
        <v>167</v>
      </c>
      <c r="E55" s="24" t="s">
        <v>66</v>
      </c>
      <c r="F55" s="57">
        <v>597996</v>
      </c>
      <c r="G55" s="57"/>
      <c r="H55" s="57"/>
      <c r="I55" s="57"/>
      <c r="J55" s="57">
        <v>597996</v>
      </c>
      <c r="K55" s="55"/>
      <c r="L55" s="55"/>
      <c r="M55" s="58" t="str">
        <f>IF(AND(N(K55)&gt;0,N(L55)&gt;0),L55/K55,"")</f>
        <v/>
      </c>
      <c r="N55" s="59">
        <v>1</v>
      </c>
      <c r="O55" s="59">
        <v>0</v>
      </c>
      <c r="P55" s="17" t="s">
        <v>226</v>
      </c>
    </row>
    <row r="56" spans="1:16" x14ac:dyDescent="0.25">
      <c r="A56" s="7" t="s">
        <v>152</v>
      </c>
      <c r="B56" s="19" t="s">
        <v>225</v>
      </c>
      <c r="C56" s="56">
        <v>24636</v>
      </c>
      <c r="D56" s="20" t="s">
        <v>167</v>
      </c>
      <c r="E56" s="24" t="s">
        <v>66</v>
      </c>
      <c r="F56" s="57">
        <v>603582</v>
      </c>
      <c r="G56" s="57"/>
      <c r="H56" s="57"/>
      <c r="I56" s="57"/>
      <c r="J56" s="57">
        <v>603582</v>
      </c>
      <c r="K56" s="55"/>
      <c r="L56" s="55"/>
      <c r="M56" s="58" t="str">
        <f>IF(AND(N(K56)&gt;0,N(L56)&gt;0),L56/K56,"")</f>
        <v/>
      </c>
      <c r="N56" s="59">
        <v>1</v>
      </c>
      <c r="O56" s="59">
        <v>0</v>
      </c>
      <c r="P56" s="17" t="s">
        <v>226</v>
      </c>
    </row>
    <row r="57" spans="1:16" x14ac:dyDescent="0.25">
      <c r="A57" s="7" t="s">
        <v>153</v>
      </c>
      <c r="B57" s="19" t="s">
        <v>214</v>
      </c>
      <c r="C57" s="56">
        <v>0</v>
      </c>
      <c r="D57" s="20" t="s">
        <v>168</v>
      </c>
      <c r="E57" s="24" t="s">
        <v>66</v>
      </c>
      <c r="F57" s="57">
        <v>0</v>
      </c>
      <c r="G57" s="57"/>
      <c r="H57" s="57"/>
      <c r="I57" s="57"/>
      <c r="J57" s="57">
        <v>0</v>
      </c>
      <c r="K57" s="55"/>
      <c r="L57" s="55"/>
      <c r="M57" s="58" t="str">
        <f>IF(AND(N(K57)&gt;0,N(L57)&gt;0),L57/K57,"")</f>
        <v/>
      </c>
      <c r="N57" s="59">
        <v>1</v>
      </c>
      <c r="O57" s="59">
        <v>0</v>
      </c>
      <c r="P57" s="17" t="s">
        <v>155</v>
      </c>
    </row>
    <row r="58" spans="1:16" x14ac:dyDescent="0.25">
      <c r="A58" s="7" t="s">
        <v>153</v>
      </c>
      <c r="B58" s="19" t="s">
        <v>215</v>
      </c>
      <c r="C58" s="56">
        <v>3000</v>
      </c>
      <c r="D58" s="20" t="s">
        <v>168</v>
      </c>
      <c r="E58" s="24" t="s">
        <v>66</v>
      </c>
      <c r="F58" s="57">
        <v>68400</v>
      </c>
      <c r="G58" s="57"/>
      <c r="H58" s="57"/>
      <c r="I58" s="57"/>
      <c r="J58" s="57">
        <v>68400</v>
      </c>
      <c r="K58" s="55"/>
      <c r="L58" s="55"/>
      <c r="M58" s="58" t="str">
        <f>IF(AND(N(K58)&gt;0,N(L58)&gt;0),L58/K58,"")</f>
        <v/>
      </c>
      <c r="N58" s="59">
        <v>1</v>
      </c>
      <c r="O58" s="59">
        <v>0</v>
      </c>
      <c r="P58" s="17" t="s">
        <v>227</v>
      </c>
    </row>
    <row r="59" spans="1:16" x14ac:dyDescent="0.25">
      <c r="A59" s="7" t="s">
        <v>153</v>
      </c>
      <c r="B59" s="19" t="s">
        <v>216</v>
      </c>
      <c r="C59" s="56">
        <v>0</v>
      </c>
      <c r="D59" s="20" t="s">
        <v>168</v>
      </c>
      <c r="E59" s="24" t="s">
        <v>66</v>
      </c>
      <c r="F59" s="57">
        <v>0</v>
      </c>
      <c r="G59" s="57"/>
      <c r="H59" s="57"/>
      <c r="I59" s="57"/>
      <c r="J59" s="57">
        <v>0</v>
      </c>
      <c r="K59" s="55"/>
      <c r="L59" s="55"/>
      <c r="M59" s="58" t="str">
        <f>IF(AND(N(K59)&gt;0,N(L59)&gt;0),L59/K59,"")</f>
        <v/>
      </c>
      <c r="N59" s="59">
        <v>1</v>
      </c>
      <c r="O59" s="59">
        <v>0</v>
      </c>
      <c r="P59" s="17" t="s">
        <v>155</v>
      </c>
    </row>
    <row r="60" spans="1:16" x14ac:dyDescent="0.25">
      <c r="A60" s="7" t="s">
        <v>153</v>
      </c>
      <c r="B60" s="19" t="s">
        <v>217</v>
      </c>
      <c r="C60" s="56">
        <v>0</v>
      </c>
      <c r="D60" s="20" t="s">
        <v>168</v>
      </c>
      <c r="E60" s="24" t="s">
        <v>66</v>
      </c>
      <c r="F60" s="57">
        <v>0</v>
      </c>
      <c r="G60" s="57"/>
      <c r="H60" s="57"/>
      <c r="I60" s="57"/>
      <c r="J60" s="57">
        <v>0</v>
      </c>
      <c r="K60" s="55"/>
      <c r="L60" s="55"/>
      <c r="M60" s="58" t="str">
        <f>IF(AND(N(K60)&gt;0,N(L60)&gt;0),L60/K60,"")</f>
        <v/>
      </c>
      <c r="N60" s="59">
        <v>1</v>
      </c>
      <c r="O60" s="59">
        <v>0</v>
      </c>
      <c r="P60" s="17" t="s">
        <v>155</v>
      </c>
    </row>
    <row r="61" spans="1:16" x14ac:dyDescent="0.25">
      <c r="A61" s="7" t="s">
        <v>153</v>
      </c>
      <c r="B61" s="19" t="s">
        <v>218</v>
      </c>
      <c r="C61" s="56">
        <v>0</v>
      </c>
      <c r="D61" s="20" t="s">
        <v>168</v>
      </c>
      <c r="E61" s="24" t="s">
        <v>66</v>
      </c>
      <c r="F61" s="57">
        <v>0</v>
      </c>
      <c r="G61" s="57"/>
      <c r="H61" s="57"/>
      <c r="I61" s="57"/>
      <c r="J61" s="57">
        <v>0</v>
      </c>
      <c r="K61" s="55"/>
      <c r="L61" s="55"/>
      <c r="M61" s="58" t="str">
        <f>IF(AND(N(K61)&gt;0,N(L61)&gt;0),L61/K61,"")</f>
        <v/>
      </c>
      <c r="N61" s="59">
        <v>1</v>
      </c>
      <c r="O61" s="59">
        <v>0</v>
      </c>
      <c r="P61" s="17" t="s">
        <v>155</v>
      </c>
    </row>
    <row r="62" spans="1:16" x14ac:dyDescent="0.25">
      <c r="A62" s="7" t="s">
        <v>153</v>
      </c>
      <c r="B62" s="19" t="s">
        <v>219</v>
      </c>
      <c r="C62" s="56">
        <v>0</v>
      </c>
      <c r="D62" s="20" t="s">
        <v>168</v>
      </c>
      <c r="E62" s="24" t="s">
        <v>66</v>
      </c>
      <c r="F62" s="57">
        <v>0</v>
      </c>
      <c r="G62" s="57"/>
      <c r="H62" s="57"/>
      <c r="I62" s="57"/>
      <c r="J62" s="57">
        <v>0</v>
      </c>
      <c r="K62" s="55"/>
      <c r="L62" s="55"/>
      <c r="M62" s="58" t="str">
        <f>IF(AND(N(K62)&gt;0,N(L62)&gt;0),L62/K62,"")</f>
        <v/>
      </c>
      <c r="N62" s="59">
        <v>1</v>
      </c>
      <c r="O62" s="59">
        <v>0</v>
      </c>
      <c r="P62" s="17" t="s">
        <v>155</v>
      </c>
    </row>
    <row r="63" spans="1:16" x14ac:dyDescent="0.25">
      <c r="A63" s="7" t="s">
        <v>153</v>
      </c>
      <c r="B63" s="19" t="s">
        <v>220</v>
      </c>
      <c r="C63" s="56">
        <v>2000</v>
      </c>
      <c r="D63" s="20" t="s">
        <v>168</v>
      </c>
      <c r="E63" s="24" t="s">
        <v>66</v>
      </c>
      <c r="F63" s="57">
        <v>45600</v>
      </c>
      <c r="G63" s="57"/>
      <c r="H63" s="57"/>
      <c r="I63" s="57"/>
      <c r="J63" s="57">
        <v>45600</v>
      </c>
      <c r="K63" s="55"/>
      <c r="L63" s="55"/>
      <c r="M63" s="58" t="str">
        <f>IF(AND(N(K63)&gt;0,N(L63)&gt;0),L63/K63,"")</f>
        <v/>
      </c>
      <c r="N63" s="59">
        <v>1</v>
      </c>
      <c r="O63" s="59">
        <v>0</v>
      </c>
      <c r="P63" s="17" t="s">
        <v>227</v>
      </c>
    </row>
    <row r="64" spans="1:16" x14ac:dyDescent="0.25">
      <c r="A64" s="7" t="s">
        <v>153</v>
      </c>
      <c r="B64" s="19" t="s">
        <v>221</v>
      </c>
      <c r="C64" s="56">
        <v>0</v>
      </c>
      <c r="D64" s="20" t="s">
        <v>168</v>
      </c>
      <c r="E64" s="24" t="s">
        <v>66</v>
      </c>
      <c r="F64" s="57">
        <v>0</v>
      </c>
      <c r="G64" s="57"/>
      <c r="H64" s="57"/>
      <c r="I64" s="57"/>
      <c r="J64" s="57">
        <v>0</v>
      </c>
      <c r="K64" s="55"/>
      <c r="L64" s="55"/>
      <c r="M64" s="58" t="str">
        <f>IF(AND(N(K64)&gt;0,N(L64)&gt;0),L64/K64,"")</f>
        <v/>
      </c>
      <c r="N64" s="59">
        <v>1</v>
      </c>
      <c r="O64" s="59">
        <v>0</v>
      </c>
      <c r="P64" s="17" t="s">
        <v>155</v>
      </c>
    </row>
    <row r="65" spans="1:16" x14ac:dyDescent="0.25">
      <c r="A65" s="7" t="s">
        <v>153</v>
      </c>
      <c r="B65" s="19" t="s">
        <v>222</v>
      </c>
      <c r="C65" s="56">
        <v>0</v>
      </c>
      <c r="D65" s="20" t="s">
        <v>168</v>
      </c>
      <c r="E65" s="24" t="s">
        <v>66</v>
      </c>
      <c r="F65" s="57">
        <v>0</v>
      </c>
      <c r="G65" s="57"/>
      <c r="H65" s="57"/>
      <c r="I65" s="57"/>
      <c r="J65" s="57">
        <v>0</v>
      </c>
      <c r="K65" s="55"/>
      <c r="L65" s="55"/>
      <c r="M65" s="58" t="str">
        <f>IF(AND(N(K65)&gt;0,N(L65)&gt;0),L65/K65,"")</f>
        <v/>
      </c>
      <c r="N65" s="59">
        <v>1</v>
      </c>
      <c r="O65" s="59">
        <v>0</v>
      </c>
      <c r="P65" s="17" t="s">
        <v>155</v>
      </c>
    </row>
    <row r="66" spans="1:16" x14ac:dyDescent="0.25">
      <c r="A66" s="7" t="s">
        <v>153</v>
      </c>
      <c r="B66" s="19" t="s">
        <v>223</v>
      </c>
      <c r="C66" s="56">
        <v>0</v>
      </c>
      <c r="D66" s="20" t="s">
        <v>168</v>
      </c>
      <c r="E66" s="24" t="s">
        <v>66</v>
      </c>
      <c r="F66" s="57">
        <v>0</v>
      </c>
      <c r="G66" s="57"/>
      <c r="H66" s="57"/>
      <c r="I66" s="57"/>
      <c r="J66" s="57">
        <v>0</v>
      </c>
      <c r="K66" s="55"/>
      <c r="L66" s="55"/>
      <c r="M66" s="58" t="str">
        <f>IF(AND(N(K66)&gt;0,N(L66)&gt;0),L66/K66,"")</f>
        <v/>
      </c>
      <c r="N66" s="59">
        <v>1</v>
      </c>
      <c r="O66" s="59">
        <v>0</v>
      </c>
      <c r="P66" s="17" t="s">
        <v>155</v>
      </c>
    </row>
    <row r="67" spans="1:16" x14ac:dyDescent="0.25">
      <c r="A67" s="7" t="s">
        <v>153</v>
      </c>
      <c r="B67" s="19" t="s">
        <v>224</v>
      </c>
      <c r="C67" s="56">
        <v>1500</v>
      </c>
      <c r="D67" s="20" t="s">
        <v>168</v>
      </c>
      <c r="E67" s="24" t="s">
        <v>66</v>
      </c>
      <c r="F67" s="57">
        <v>34200</v>
      </c>
      <c r="G67" s="57"/>
      <c r="H67" s="57"/>
      <c r="I67" s="57"/>
      <c r="J67" s="57">
        <v>34200</v>
      </c>
      <c r="K67" s="55"/>
      <c r="L67" s="55"/>
      <c r="M67" s="58" t="str">
        <f>IF(AND(N(K67)&gt;0,N(L67)&gt;0),L67/K67,"")</f>
        <v/>
      </c>
      <c r="N67" s="59">
        <v>1</v>
      </c>
      <c r="O67" s="59">
        <v>0</v>
      </c>
      <c r="P67" s="17" t="s">
        <v>227</v>
      </c>
    </row>
    <row r="68" spans="1:16" x14ac:dyDescent="0.25">
      <c r="A68" s="7" t="s">
        <v>153</v>
      </c>
      <c r="B68" s="19" t="s">
        <v>225</v>
      </c>
      <c r="C68" s="56">
        <v>0</v>
      </c>
      <c r="D68" s="20" t="s">
        <v>168</v>
      </c>
      <c r="E68" s="24" t="s">
        <v>66</v>
      </c>
      <c r="F68" s="57">
        <v>0</v>
      </c>
      <c r="G68" s="57"/>
      <c r="H68" s="57"/>
      <c r="I68" s="57"/>
      <c r="J68" s="57">
        <v>0</v>
      </c>
      <c r="K68" s="55"/>
      <c r="L68" s="55"/>
      <c r="M68" s="58" t="str">
        <f>IF(AND(N(K68)&gt;0,N(L68)&gt;0),L68/K68,"")</f>
        <v/>
      </c>
      <c r="N68" s="59">
        <v>1</v>
      </c>
      <c r="O68" s="59">
        <v>0</v>
      </c>
      <c r="P68" s="17" t="s">
        <v>155</v>
      </c>
    </row>
  </sheetData>
  <pageMargins left="0.45" right="0.45" top="0.7" bottom="0.6" header="0.3" footer="0.3"/>
  <pageSetup paperSize="9" orientation="landscape" horizontalDpi="4294967295" verticalDpi="4294967295" scale="100" fitToWidth="1" fitToHeight="0"/>
  <headerFooter>
    <oddHeader>&amp;L&amp;"Arial"&amp;8Advanced Energy Audit · Demo Foods (Pty) Ltd (fictional)&amp;R&amp;"Arial"&amp;8&amp;A</oddHeader>
    <oddFooter>&amp;L&amp;"Arial"&amp;8Thabiso Kali, Certified Energy Manager · Fictional demonstration&amp;R&amp;"Arial"&amp;8Page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7841A"/>
    <pageSetUpPr fitToPage="1"/>
  </sheetPr>
  <dimension ref="A1:V34"/>
  <sheetViews>
    <sheetView workbookViewId="0" showGridLines="0">
      <pane xSplit="2" ySplit="5" topLeftCell="C6" activePane="bottomRight" state="frozen"/>
      <selection pane="bottomRight"/>
    </sheetView>
  </sheetViews>
  <sheetFormatPr defaultRowHeight="15" outlineLevelRow="0" outlineLevelCol="0" x14ac:dyDescent="55"/>
  <cols>
    <col min="1" max="1" width="14" customWidth="1"/>
    <col min="2" max="2" width="40" customWidth="1"/>
    <col min="3" max="3" width="20" customWidth="1"/>
    <col min="4" max="5" width="12" customWidth="1"/>
    <col min="6" max="6" width="8" customWidth="1"/>
    <col min="7" max="7" width="11" customWidth="1"/>
    <col min="8" max="8" width="12" customWidth="1"/>
    <col min="9" max="9" width="10" customWidth="1"/>
    <col min="10" max="10" width="16" customWidth="1"/>
    <col min="11" max="11" width="10" customWidth="1"/>
    <col min="12" max="12" width="11" customWidth="1"/>
    <col min="13" max="13" width="16" customWidth="1"/>
    <col min="14" max="14" width="10" customWidth="1"/>
    <col min="15" max="15" width="11" customWidth="1"/>
    <col min="16" max="16" width="12" customWidth="1"/>
    <col min="17" max="17" width="15" customWidth="1"/>
    <col min="18" max="18" width="11" customWidth="1"/>
    <col min="19" max="19" width="7" customWidth="1"/>
    <col min="20" max="20" width="30" customWidth="1"/>
    <col min="21" max="21" width="40" customWidth="1"/>
    <col min="22" max="22" width="30" customWidth="1"/>
  </cols>
  <sheetData>
    <row r="1" ht="26" customHeight="1" spans="1:1" x14ac:dyDescent="0.25">
      <c r="A1" s="31" t="s">
        <v>228</v>
      </c>
    </row>
    <row r="2" spans="1:1" x14ac:dyDescent="0.25">
      <c r="A2" s="32" t="s">
        <v>229</v>
      </c>
    </row>
    <row r="3" spans="1:1" x14ac:dyDescent="0.25">
      <c r="A3" s="33" t="s">
        <v>91</v>
      </c>
    </row>
    <row r="5" ht="34" customHeight="1" spans="1:22" x14ac:dyDescent="0.25">
      <c r="A5" s="15" t="s">
        <v>230</v>
      </c>
      <c r="B5" s="16" t="s">
        <v>231</v>
      </c>
      <c r="C5" s="16" t="s">
        <v>37</v>
      </c>
      <c r="D5" s="16" t="s">
        <v>163</v>
      </c>
      <c r="E5" s="16" t="s">
        <v>159</v>
      </c>
      <c r="F5" s="16" t="s">
        <v>232</v>
      </c>
      <c r="G5" s="16" t="s">
        <v>233</v>
      </c>
      <c r="H5" s="16" t="s">
        <v>234</v>
      </c>
      <c r="I5" s="16" t="s">
        <v>235</v>
      </c>
      <c r="J5" s="16" t="s">
        <v>236</v>
      </c>
      <c r="K5" s="16" t="s">
        <v>237</v>
      </c>
      <c r="L5" s="16" t="s">
        <v>238</v>
      </c>
      <c r="M5" s="16" t="s">
        <v>239</v>
      </c>
      <c r="N5" s="16" t="s">
        <v>240</v>
      </c>
      <c r="O5" s="16" t="s">
        <v>241</v>
      </c>
      <c r="P5" s="16" t="s">
        <v>242</v>
      </c>
      <c r="Q5" s="16" t="s">
        <v>243</v>
      </c>
      <c r="R5" s="16" t="s">
        <v>96</v>
      </c>
      <c r="S5" s="16" t="s">
        <v>97</v>
      </c>
      <c r="T5" s="16" t="s">
        <v>244</v>
      </c>
      <c r="U5" s="16" t="s">
        <v>245</v>
      </c>
      <c r="V5" s="16" t="s">
        <v>246</v>
      </c>
    </row>
    <row r="6" spans="1:22" x14ac:dyDescent="0.25">
      <c r="A6" s="7" t="s">
        <v>247</v>
      </c>
      <c r="B6" s="7" t="s">
        <v>248</v>
      </c>
      <c r="C6" s="7" t="s">
        <v>40</v>
      </c>
      <c r="D6" s="7" t="s">
        <v>249</v>
      </c>
      <c r="E6" s="7" t="s">
        <v>160</v>
      </c>
      <c r="F6" s="55">
        <v>2</v>
      </c>
      <c r="G6" s="60">
        <v>61</v>
      </c>
      <c r="H6" s="20" t="s">
        <v>250</v>
      </c>
      <c r="I6" s="61">
        <v>1</v>
      </c>
      <c r="J6" s="7" t="s">
        <v>251</v>
      </c>
      <c r="K6" s="62">
        <v>0.6</v>
      </c>
      <c r="L6" s="55">
        <v>8760</v>
      </c>
      <c r="P6" s="63">
        <f>K6*L6</f>
        <v>5256</v>
      </c>
      <c r="Q6" s="49">
        <f>F6*G6*P6/I6</f>
        <v>641232</v>
      </c>
      <c r="R6" s="26" t="s">
        <v>70</v>
      </c>
      <c r="S6" s="39">
        <v>15.588457268119896</v>
      </c>
      <c r="T6" s="17" t="s">
        <v>252</v>
      </c>
      <c r="U6" s="17" t="s">
        <v>253</v>
      </c>
      <c r="V6" s="17" t="s">
        <v>155</v>
      </c>
    </row>
    <row r="7" spans="1:22" x14ac:dyDescent="0.25">
      <c r="A7" s="7" t="s">
        <v>254</v>
      </c>
      <c r="B7" s="7" t="s">
        <v>255</v>
      </c>
      <c r="C7" s="7" t="s">
        <v>43</v>
      </c>
      <c r="D7" s="7" t="s">
        <v>256</v>
      </c>
      <c r="E7" s="7" t="s">
        <v>160</v>
      </c>
      <c r="F7" s="55">
        <v>3</v>
      </c>
      <c r="G7" s="60">
        <v>37</v>
      </c>
      <c r="H7" s="20" t="s">
        <v>250</v>
      </c>
      <c r="I7" s="61">
        <v>1</v>
      </c>
      <c r="J7" s="7" t="s">
        <v>251</v>
      </c>
      <c r="K7" s="62">
        <v>0.55</v>
      </c>
      <c r="L7" s="55">
        <v>8760</v>
      </c>
      <c r="P7" s="63">
        <f>K7*L7</f>
        <v>4818</v>
      </c>
      <c r="Q7" s="49">
        <f>F7*G7*P7/I7</f>
        <v>534798</v>
      </c>
      <c r="R7" s="26" t="s">
        <v>70</v>
      </c>
      <c r="S7" s="39">
        <v>21.424285285628553</v>
      </c>
      <c r="T7" s="17" t="s">
        <v>257</v>
      </c>
      <c r="U7" s="17" t="s">
        <v>258</v>
      </c>
      <c r="V7" s="17" t="s">
        <v>155</v>
      </c>
    </row>
    <row r="8" spans="1:22" x14ac:dyDescent="0.25">
      <c r="A8" s="7" t="s">
        <v>259</v>
      </c>
      <c r="B8" s="7" t="s">
        <v>260</v>
      </c>
      <c r="C8" s="7" t="s">
        <v>43</v>
      </c>
      <c r="D8" s="7" t="s">
        <v>256</v>
      </c>
      <c r="E8" s="7" t="s">
        <v>160</v>
      </c>
      <c r="F8" s="55">
        <v>2</v>
      </c>
      <c r="G8" s="60">
        <v>22</v>
      </c>
      <c r="H8" s="20" t="s">
        <v>250</v>
      </c>
      <c r="I8" s="61">
        <v>1</v>
      </c>
      <c r="J8" s="7" t="s">
        <v>251</v>
      </c>
      <c r="K8" s="62">
        <v>0.5</v>
      </c>
      <c r="L8" s="55">
        <v>8760</v>
      </c>
      <c r="P8" s="63">
        <f>K8*L8</f>
        <v>4380</v>
      </c>
      <c r="Q8" s="49">
        <f>F8*G8*P8/I8</f>
        <v>192720</v>
      </c>
      <c r="R8" s="26" t="s">
        <v>70</v>
      </c>
      <c r="S8" s="39">
        <v>21.424285285628553</v>
      </c>
      <c r="T8" s="17" t="s">
        <v>257</v>
      </c>
      <c r="U8" s="17" t="s">
        <v>258</v>
      </c>
      <c r="V8" s="17" t="s">
        <v>155</v>
      </c>
    </row>
    <row r="9" spans="1:22" x14ac:dyDescent="0.25">
      <c r="A9" s="7" t="s">
        <v>261</v>
      </c>
      <c r="B9" s="7" t="s">
        <v>262</v>
      </c>
      <c r="C9" s="7" t="s">
        <v>43</v>
      </c>
      <c r="D9" s="7" t="s">
        <v>256</v>
      </c>
      <c r="E9" s="7" t="s">
        <v>160</v>
      </c>
      <c r="F9" s="55">
        <v>24</v>
      </c>
      <c r="G9" s="60">
        <v>0.75</v>
      </c>
      <c r="H9" s="20" t="s">
        <v>250</v>
      </c>
      <c r="I9" s="61">
        <v>1</v>
      </c>
      <c r="J9" s="7" t="s">
        <v>251</v>
      </c>
      <c r="K9" s="62">
        <v>0.85</v>
      </c>
      <c r="L9" s="55">
        <v>8760</v>
      </c>
      <c r="P9" s="63">
        <f>K9*L9</f>
        <v>7446</v>
      </c>
      <c r="Q9" s="49">
        <f>F9*G9*P9/I9</f>
        <v>134028</v>
      </c>
      <c r="R9" s="26" t="s">
        <v>70</v>
      </c>
      <c r="S9" s="39">
        <v>21.424285285628553</v>
      </c>
      <c r="T9" s="17" t="s">
        <v>257</v>
      </c>
      <c r="U9" s="17" t="s">
        <v>258</v>
      </c>
      <c r="V9" s="17" t="s">
        <v>155</v>
      </c>
    </row>
    <row r="10" spans="1:22" x14ac:dyDescent="0.25">
      <c r="A10" s="7" t="s">
        <v>263</v>
      </c>
      <c r="B10" s="7" t="s">
        <v>264</v>
      </c>
      <c r="C10" s="7" t="s">
        <v>43</v>
      </c>
      <c r="D10" s="7" t="s">
        <v>256</v>
      </c>
      <c r="E10" s="7" t="s">
        <v>160</v>
      </c>
      <c r="F10" s="55">
        <v>18</v>
      </c>
      <c r="G10" s="60">
        <v>4.5</v>
      </c>
      <c r="H10" s="20" t="s">
        <v>250</v>
      </c>
      <c r="I10" s="61">
        <v>1</v>
      </c>
      <c r="J10" s="7" t="s">
        <v>265</v>
      </c>
      <c r="K10" s="62">
        <v>1</v>
      </c>
      <c r="L10" s="55">
        <v>548</v>
      </c>
      <c r="P10" s="63">
        <f>K10*L10</f>
        <v>548</v>
      </c>
      <c r="Q10" s="49">
        <f>F10*G10*P10/I10</f>
        <v>44388</v>
      </c>
      <c r="R10" s="26" t="s">
        <v>70</v>
      </c>
      <c r="S10" s="39">
        <v>15.588457268119896</v>
      </c>
      <c r="T10" s="17" t="s">
        <v>257</v>
      </c>
      <c r="U10" s="17" t="s">
        <v>266</v>
      </c>
      <c r="V10" s="17" t="s">
        <v>155</v>
      </c>
    </row>
    <row r="11" spans="1:22" x14ac:dyDescent="0.25">
      <c r="A11" s="7" t="s">
        <v>267</v>
      </c>
      <c r="B11" s="7" t="s">
        <v>268</v>
      </c>
      <c r="C11" s="7" t="s">
        <v>47</v>
      </c>
      <c r="D11" s="7" t="s">
        <v>269</v>
      </c>
      <c r="E11" s="7" t="s">
        <v>160</v>
      </c>
      <c r="F11" s="55">
        <v>4</v>
      </c>
      <c r="G11" s="60">
        <v>30</v>
      </c>
      <c r="H11" s="20" t="s">
        <v>270</v>
      </c>
      <c r="I11" s="62">
        <v>0.936</v>
      </c>
      <c r="J11" s="7" t="s">
        <v>271</v>
      </c>
      <c r="K11" s="62">
        <v>0.45</v>
      </c>
      <c r="L11" s="55">
        <v>3000</v>
      </c>
      <c r="P11" s="63">
        <f>K11*L11</f>
        <v>1350</v>
      </c>
      <c r="Q11" s="49">
        <f>F11*G11*P11/I11</f>
        <v>173076.92307692306</v>
      </c>
      <c r="R11" s="26" t="s">
        <v>70</v>
      </c>
      <c r="S11" s="39">
        <v>21.517434791350016</v>
      </c>
      <c r="T11" s="17" t="s">
        <v>272</v>
      </c>
      <c r="U11" s="17" t="s">
        <v>273</v>
      </c>
      <c r="V11" s="17" t="s">
        <v>155</v>
      </c>
    </row>
    <row r="12" spans="1:22" x14ac:dyDescent="0.25">
      <c r="A12" s="7" t="s">
        <v>274</v>
      </c>
      <c r="B12" s="7" t="s">
        <v>275</v>
      </c>
      <c r="C12" s="7" t="s">
        <v>47</v>
      </c>
      <c r="D12" s="7" t="s">
        <v>269</v>
      </c>
      <c r="E12" s="7" t="s">
        <v>160</v>
      </c>
      <c r="F12" s="55">
        <v>2</v>
      </c>
      <c r="G12" s="60">
        <v>22</v>
      </c>
      <c r="H12" s="20" t="s">
        <v>270</v>
      </c>
      <c r="I12" s="62">
        <v>0.93</v>
      </c>
      <c r="J12" s="7" t="s">
        <v>251</v>
      </c>
      <c r="K12" s="62">
        <v>0.7684</v>
      </c>
      <c r="L12" s="55">
        <v>5500</v>
      </c>
      <c r="P12" s="63">
        <f>K12*L12</f>
        <v>4226.2</v>
      </c>
      <c r="Q12" s="49">
        <f>F12*G12*P12/I12</f>
        <v>199949.24731182793</v>
      </c>
      <c r="R12" s="26" t="s">
        <v>70</v>
      </c>
      <c r="S12" s="39">
        <v>21.517434791350016</v>
      </c>
      <c r="T12" s="17" t="s">
        <v>272</v>
      </c>
      <c r="U12" s="17" t="s">
        <v>276</v>
      </c>
      <c r="V12" s="17" t="s">
        <v>155</v>
      </c>
    </row>
    <row r="13" spans="1:22" x14ac:dyDescent="0.25">
      <c r="A13" s="7" t="s">
        <v>277</v>
      </c>
      <c r="B13" s="7" t="s">
        <v>278</v>
      </c>
      <c r="C13" s="7" t="s">
        <v>47</v>
      </c>
      <c r="D13" s="7" t="s">
        <v>269</v>
      </c>
      <c r="E13" s="7" t="s">
        <v>160</v>
      </c>
      <c r="F13" s="55">
        <v>3</v>
      </c>
      <c r="G13" s="60">
        <v>11</v>
      </c>
      <c r="H13" s="20" t="s">
        <v>270</v>
      </c>
      <c r="I13" s="62">
        <v>0.914</v>
      </c>
      <c r="J13" s="7" t="s">
        <v>251</v>
      </c>
      <c r="K13" s="62">
        <v>0.7</v>
      </c>
      <c r="L13" s="55">
        <v>6000</v>
      </c>
      <c r="P13" s="63">
        <f>K13*L13</f>
        <v>4200</v>
      </c>
      <c r="Q13" s="49">
        <f>F13*G13*P13/I13</f>
        <v>151641.13785557987</v>
      </c>
      <c r="R13" s="26" t="s">
        <v>70</v>
      </c>
      <c r="S13" s="39">
        <v>21.517434791350016</v>
      </c>
      <c r="T13" s="17" t="s">
        <v>272</v>
      </c>
      <c r="U13" s="17" t="s">
        <v>276</v>
      </c>
      <c r="V13" s="17" t="s">
        <v>155</v>
      </c>
    </row>
    <row r="14" spans="1:22" x14ac:dyDescent="0.25">
      <c r="A14" s="7" t="s">
        <v>279</v>
      </c>
      <c r="B14" s="7" t="s">
        <v>280</v>
      </c>
      <c r="C14" s="7" t="s">
        <v>47</v>
      </c>
      <c r="D14" s="7" t="s">
        <v>269</v>
      </c>
      <c r="E14" s="7" t="s">
        <v>160</v>
      </c>
      <c r="F14" s="55">
        <v>30</v>
      </c>
      <c r="G14" s="60">
        <v>1.5</v>
      </c>
      <c r="H14" s="20" t="s">
        <v>270</v>
      </c>
      <c r="I14" s="62">
        <v>0.828</v>
      </c>
      <c r="J14" s="7" t="s">
        <v>251</v>
      </c>
      <c r="K14" s="62">
        <v>0.55</v>
      </c>
      <c r="L14" s="55">
        <v>6000</v>
      </c>
      <c r="P14" s="63">
        <f>K14*L14</f>
        <v>3300.0000000000005</v>
      </c>
      <c r="Q14" s="49">
        <f>F14*G14*P14/I14</f>
        <v>179347.82608695657</v>
      </c>
      <c r="R14" s="26" t="s">
        <v>70</v>
      </c>
      <c r="S14" s="39">
        <v>21.517434791350016</v>
      </c>
      <c r="T14" s="17" t="s">
        <v>272</v>
      </c>
      <c r="U14" s="17" t="s">
        <v>276</v>
      </c>
      <c r="V14" s="17" t="s">
        <v>155</v>
      </c>
    </row>
    <row r="15" spans="1:22" x14ac:dyDescent="0.25">
      <c r="A15" s="7" t="s">
        <v>281</v>
      </c>
      <c r="B15" s="7" t="s">
        <v>282</v>
      </c>
      <c r="C15" s="7" t="s">
        <v>47</v>
      </c>
      <c r="D15" s="7" t="s">
        <v>269</v>
      </c>
      <c r="E15" s="7" t="s">
        <v>160</v>
      </c>
      <c r="F15" s="55">
        <v>2</v>
      </c>
      <c r="G15" s="60">
        <v>7.5</v>
      </c>
      <c r="H15" s="20" t="s">
        <v>270</v>
      </c>
      <c r="I15" s="62">
        <v>0.904</v>
      </c>
      <c r="J15" s="7" t="s">
        <v>251</v>
      </c>
      <c r="K15" s="62">
        <v>0.6</v>
      </c>
      <c r="L15" s="55">
        <v>6500</v>
      </c>
      <c r="P15" s="63">
        <f>K15*L15</f>
        <v>3900</v>
      </c>
      <c r="Q15" s="49">
        <f>F15*G15*P15/I15</f>
        <v>64712.38938053097</v>
      </c>
      <c r="R15" s="26" t="s">
        <v>70</v>
      </c>
      <c r="S15" s="39">
        <v>21.517434791350016</v>
      </c>
      <c r="T15" s="17" t="s">
        <v>272</v>
      </c>
      <c r="U15" s="17" t="s">
        <v>276</v>
      </c>
      <c r="V15" s="17" t="s">
        <v>155</v>
      </c>
    </row>
    <row r="16" spans="1:22" x14ac:dyDescent="0.25">
      <c r="A16" s="7" t="s">
        <v>283</v>
      </c>
      <c r="B16" s="7" t="s">
        <v>284</v>
      </c>
      <c r="C16" s="7" t="s">
        <v>48</v>
      </c>
      <c r="D16" s="7" t="s">
        <v>285</v>
      </c>
      <c r="E16" s="7" t="s">
        <v>161</v>
      </c>
      <c r="F16" s="55">
        <v>2</v>
      </c>
      <c r="G16" s="60">
        <v>400</v>
      </c>
      <c r="H16" s="20" t="s">
        <v>250</v>
      </c>
      <c r="I16" s="61">
        <v>1</v>
      </c>
      <c r="J16" s="7" t="s">
        <v>286</v>
      </c>
      <c r="K16" s="62">
        <v>0.42</v>
      </c>
      <c r="L16" s="55">
        <v>5600</v>
      </c>
      <c r="M16" s="7" t="s">
        <v>287</v>
      </c>
      <c r="N16" s="62">
        <v>0.15</v>
      </c>
      <c r="O16" s="55">
        <v>900</v>
      </c>
      <c r="P16" s="63">
        <f>K16*L16+N16*O16</f>
        <v>2487</v>
      </c>
      <c r="Q16" s="49">
        <f>F16*G16*P16/I16</f>
        <v>1989600</v>
      </c>
      <c r="R16" s="26" t="s">
        <v>70</v>
      </c>
      <c r="S16" s="39">
        <v>20.31742766995271</v>
      </c>
      <c r="T16" s="17" t="s">
        <v>272</v>
      </c>
      <c r="U16" s="17" t="s">
        <v>288</v>
      </c>
      <c r="V16" s="17" t="s">
        <v>155</v>
      </c>
    </row>
    <row r="17" spans="1:22" x14ac:dyDescent="0.25">
      <c r="A17" s="7" t="s">
        <v>289</v>
      </c>
      <c r="B17" s="7" t="s">
        <v>290</v>
      </c>
      <c r="C17" s="7" t="s">
        <v>48</v>
      </c>
      <c r="D17" s="7" t="s">
        <v>285</v>
      </c>
      <c r="E17" s="7" t="s">
        <v>160</v>
      </c>
      <c r="F17" s="55">
        <v>2</v>
      </c>
      <c r="G17" s="60">
        <v>18.5</v>
      </c>
      <c r="H17" s="20" t="s">
        <v>250</v>
      </c>
      <c r="I17" s="61">
        <v>1</v>
      </c>
      <c r="J17" s="7" t="s">
        <v>251</v>
      </c>
      <c r="K17" s="62">
        <v>0.75</v>
      </c>
      <c r="L17" s="55">
        <v>6500</v>
      </c>
      <c r="P17" s="63">
        <f>K17*L17</f>
        <v>4875</v>
      </c>
      <c r="Q17" s="49">
        <f>F17*G17*P17/I17</f>
        <v>180375</v>
      </c>
      <c r="R17" s="26" t="s">
        <v>70</v>
      </c>
      <c r="S17" s="39">
        <v>21.424285285628553</v>
      </c>
      <c r="T17" s="17" t="s">
        <v>272</v>
      </c>
      <c r="U17" s="17" t="s">
        <v>258</v>
      </c>
      <c r="V17" s="17" t="s">
        <v>155</v>
      </c>
    </row>
    <row r="18" spans="1:22" x14ac:dyDescent="0.25">
      <c r="A18" s="7" t="s">
        <v>291</v>
      </c>
      <c r="B18" s="7" t="s">
        <v>292</v>
      </c>
      <c r="C18" s="7" t="s">
        <v>46</v>
      </c>
      <c r="D18" s="7" t="s">
        <v>293</v>
      </c>
      <c r="E18" s="7" t="s">
        <v>294</v>
      </c>
      <c r="F18" s="55">
        <v>2</v>
      </c>
      <c r="G18" s="60">
        <v>65</v>
      </c>
      <c r="H18" s="20" t="s">
        <v>250</v>
      </c>
      <c r="I18" s="61">
        <v>1</v>
      </c>
      <c r="J18" s="7" t="s">
        <v>295</v>
      </c>
      <c r="K18" s="62">
        <v>0.6</v>
      </c>
      <c r="L18" s="55">
        <v>6000</v>
      </c>
      <c r="P18" s="63">
        <f>K18*L18</f>
        <v>3600</v>
      </c>
      <c r="Q18" s="49">
        <f>F18*G18*P18/I18</f>
        <v>468000</v>
      </c>
      <c r="R18" s="26" t="s">
        <v>70</v>
      </c>
      <c r="S18" s="39">
        <v>23.45207879911715</v>
      </c>
      <c r="T18" s="17" t="s">
        <v>272</v>
      </c>
      <c r="U18" s="17" t="s">
        <v>296</v>
      </c>
      <c r="V18" s="17" t="s">
        <v>155</v>
      </c>
    </row>
    <row r="19" spans="1:22" x14ac:dyDescent="0.25">
      <c r="A19" s="7" t="s">
        <v>297</v>
      </c>
      <c r="B19" s="7" t="s">
        <v>298</v>
      </c>
      <c r="C19" s="7" t="s">
        <v>46</v>
      </c>
      <c r="D19" s="7" t="s">
        <v>299</v>
      </c>
      <c r="E19" s="7" t="s">
        <v>294</v>
      </c>
      <c r="F19" s="55">
        <v>1</v>
      </c>
      <c r="G19" s="60">
        <v>159</v>
      </c>
      <c r="H19" s="20" t="s">
        <v>250</v>
      </c>
      <c r="I19" s="61">
        <v>1</v>
      </c>
      <c r="J19" s="7" t="s">
        <v>295</v>
      </c>
      <c r="K19" s="62">
        <v>0.5</v>
      </c>
      <c r="L19" s="55">
        <v>4500</v>
      </c>
      <c r="P19" s="63">
        <f>K19*L19</f>
        <v>2250</v>
      </c>
      <c r="Q19" s="49">
        <f>F19*G19*P19/I19</f>
        <v>357750</v>
      </c>
      <c r="R19" s="26" t="s">
        <v>70</v>
      </c>
      <c r="S19" s="39">
        <v>23.45207879911715</v>
      </c>
      <c r="T19" s="17" t="s">
        <v>272</v>
      </c>
      <c r="U19" s="17" t="s">
        <v>296</v>
      </c>
      <c r="V19" s="17" t="s">
        <v>155</v>
      </c>
    </row>
    <row r="20" spans="1:22" x14ac:dyDescent="0.25">
      <c r="A20" s="7" t="s">
        <v>300</v>
      </c>
      <c r="B20" s="7" t="s">
        <v>301</v>
      </c>
      <c r="C20" s="7" t="s">
        <v>46</v>
      </c>
      <c r="D20" s="7" t="s">
        <v>302</v>
      </c>
      <c r="E20" s="7" t="s">
        <v>294</v>
      </c>
      <c r="F20" s="55">
        <v>1</v>
      </c>
      <c r="G20" s="60">
        <v>101</v>
      </c>
      <c r="H20" s="20" t="s">
        <v>250</v>
      </c>
      <c r="I20" s="61">
        <v>1</v>
      </c>
      <c r="J20" s="7" t="s">
        <v>295</v>
      </c>
      <c r="K20" s="62">
        <v>0.45</v>
      </c>
      <c r="L20" s="55">
        <v>5500</v>
      </c>
      <c r="P20" s="63">
        <f>K20*L20</f>
        <v>2475</v>
      </c>
      <c r="Q20" s="49">
        <f>F20*G20*P20/I20</f>
        <v>249975</v>
      </c>
      <c r="R20" s="26" t="s">
        <v>70</v>
      </c>
      <c r="S20" s="39">
        <v>23.45207879911715</v>
      </c>
      <c r="T20" s="17" t="s">
        <v>272</v>
      </c>
      <c r="U20" s="17" t="s">
        <v>296</v>
      </c>
      <c r="V20" s="17" t="s">
        <v>155</v>
      </c>
    </row>
    <row r="21" spans="1:22" x14ac:dyDescent="0.25">
      <c r="A21" s="7" t="s">
        <v>303</v>
      </c>
      <c r="B21" s="7" t="s">
        <v>304</v>
      </c>
      <c r="C21" s="7" t="s">
        <v>49</v>
      </c>
      <c r="D21" s="7" t="s">
        <v>305</v>
      </c>
      <c r="E21" s="7" t="s">
        <v>160</v>
      </c>
      <c r="F21" s="55">
        <v>160</v>
      </c>
      <c r="G21" s="60">
        <v>0.13</v>
      </c>
      <c r="H21" s="20" t="s">
        <v>250</v>
      </c>
      <c r="I21" s="61">
        <v>1</v>
      </c>
      <c r="J21" s="7" t="s">
        <v>306</v>
      </c>
      <c r="K21" s="62">
        <v>1</v>
      </c>
      <c r="L21" s="55">
        <v>6500</v>
      </c>
      <c r="P21" s="63">
        <f>K21*L21</f>
        <v>6500</v>
      </c>
      <c r="Q21" s="49">
        <f>F21*G21*P21/I21</f>
        <v>135200</v>
      </c>
      <c r="R21" s="26" t="s">
        <v>70</v>
      </c>
      <c r="S21" s="39">
        <v>15.588457268119896</v>
      </c>
      <c r="T21" s="17" t="s">
        <v>272</v>
      </c>
      <c r="U21" s="17" t="s">
        <v>307</v>
      </c>
      <c r="V21" s="17" t="s">
        <v>155</v>
      </c>
    </row>
    <row r="22" spans="1:22" x14ac:dyDescent="0.25">
      <c r="A22" s="7" t="s">
        <v>308</v>
      </c>
      <c r="B22" s="7" t="s">
        <v>309</v>
      </c>
      <c r="C22" s="7" t="s">
        <v>49</v>
      </c>
      <c r="D22" s="7" t="s">
        <v>305</v>
      </c>
      <c r="E22" s="7" t="s">
        <v>160</v>
      </c>
      <c r="F22" s="55">
        <v>36</v>
      </c>
      <c r="G22" s="60">
        <v>0.455</v>
      </c>
      <c r="H22" s="20" t="s">
        <v>250</v>
      </c>
      <c r="I22" s="61">
        <v>1</v>
      </c>
      <c r="J22" s="7" t="s">
        <v>306</v>
      </c>
      <c r="K22" s="62">
        <v>1</v>
      </c>
      <c r="L22" s="55">
        <v>6000</v>
      </c>
      <c r="P22" s="63">
        <f>K22*L22</f>
        <v>6000</v>
      </c>
      <c r="Q22" s="49">
        <f>F22*G22*P22/I22</f>
        <v>98280</v>
      </c>
      <c r="R22" s="26" t="s">
        <v>70</v>
      </c>
      <c r="S22" s="39">
        <v>15.588457268119896</v>
      </c>
      <c r="T22" s="17" t="s">
        <v>272</v>
      </c>
      <c r="U22" s="17" t="s">
        <v>307</v>
      </c>
      <c r="V22" s="17" t="s">
        <v>155</v>
      </c>
    </row>
    <row r="23" spans="1:22" x14ac:dyDescent="0.25">
      <c r="A23" s="7" t="s">
        <v>310</v>
      </c>
      <c r="B23" s="7" t="s">
        <v>311</v>
      </c>
      <c r="C23" s="7" t="s">
        <v>49</v>
      </c>
      <c r="D23" s="7" t="s">
        <v>305</v>
      </c>
      <c r="E23" s="7" t="s">
        <v>160</v>
      </c>
      <c r="F23" s="55">
        <v>40</v>
      </c>
      <c r="G23" s="60">
        <v>0.13</v>
      </c>
      <c r="H23" s="20" t="s">
        <v>250</v>
      </c>
      <c r="I23" s="61">
        <v>1</v>
      </c>
      <c r="J23" s="7" t="s">
        <v>306</v>
      </c>
      <c r="K23" s="62">
        <v>1</v>
      </c>
      <c r="L23" s="55">
        <v>8760</v>
      </c>
      <c r="P23" s="63">
        <f>K23*L23</f>
        <v>8760</v>
      </c>
      <c r="Q23" s="49">
        <f>F23*G23*P23/I23</f>
        <v>45552</v>
      </c>
      <c r="R23" s="26" t="s">
        <v>70</v>
      </c>
      <c r="S23" s="39">
        <v>15.588457268119896</v>
      </c>
      <c r="T23" s="17" t="s">
        <v>272</v>
      </c>
      <c r="U23" s="17" t="s">
        <v>307</v>
      </c>
      <c r="V23" s="17" t="s">
        <v>155</v>
      </c>
    </row>
    <row r="24" spans="1:22" x14ac:dyDescent="0.25">
      <c r="A24" s="7" t="s">
        <v>312</v>
      </c>
      <c r="B24" s="7" t="s">
        <v>313</v>
      </c>
      <c r="C24" s="7" t="s">
        <v>49</v>
      </c>
      <c r="D24" s="7" t="s">
        <v>305</v>
      </c>
      <c r="E24" s="7" t="s">
        <v>160</v>
      </c>
      <c r="F24" s="55">
        <v>90</v>
      </c>
      <c r="G24" s="60">
        <v>0.08</v>
      </c>
      <c r="H24" s="20" t="s">
        <v>250</v>
      </c>
      <c r="I24" s="61">
        <v>1</v>
      </c>
      <c r="J24" s="7" t="s">
        <v>306</v>
      </c>
      <c r="K24" s="62">
        <v>1</v>
      </c>
      <c r="L24" s="55">
        <v>2800</v>
      </c>
      <c r="P24" s="63">
        <f>K24*L24</f>
        <v>2800</v>
      </c>
      <c r="Q24" s="49">
        <f>F24*G24*P24/I24</f>
        <v>20160</v>
      </c>
      <c r="R24" s="26" t="s">
        <v>70</v>
      </c>
      <c r="S24" s="39">
        <v>15.588457268119896</v>
      </c>
      <c r="T24" s="17" t="s">
        <v>272</v>
      </c>
      <c r="U24" s="17" t="s">
        <v>307</v>
      </c>
      <c r="V24" s="17" t="s">
        <v>155</v>
      </c>
    </row>
    <row r="25" spans="1:22" x14ac:dyDescent="0.25">
      <c r="A25" s="7" t="s">
        <v>314</v>
      </c>
      <c r="B25" s="7" t="s">
        <v>315</v>
      </c>
      <c r="C25" s="7" t="s">
        <v>49</v>
      </c>
      <c r="D25" s="7" t="s">
        <v>305</v>
      </c>
      <c r="E25" s="7" t="s">
        <v>160</v>
      </c>
      <c r="F25" s="55">
        <v>18</v>
      </c>
      <c r="G25" s="60">
        <v>0.28</v>
      </c>
      <c r="H25" s="20" t="s">
        <v>250</v>
      </c>
      <c r="I25" s="61">
        <v>1</v>
      </c>
      <c r="J25" s="7" t="s">
        <v>306</v>
      </c>
      <c r="K25" s="62">
        <v>1</v>
      </c>
      <c r="L25" s="55">
        <v>4200</v>
      </c>
      <c r="P25" s="63">
        <f>K25*L25</f>
        <v>4200</v>
      </c>
      <c r="Q25" s="49">
        <f>F25*G25*P25/I25</f>
        <v>21168.000000000004</v>
      </c>
      <c r="R25" s="26" t="s">
        <v>70</v>
      </c>
      <c r="S25" s="39">
        <v>15.588457268119896</v>
      </c>
      <c r="T25" s="17" t="s">
        <v>272</v>
      </c>
      <c r="U25" s="17" t="s">
        <v>307</v>
      </c>
      <c r="V25" s="17" t="s">
        <v>155</v>
      </c>
    </row>
    <row r="26" spans="1:22" x14ac:dyDescent="0.25">
      <c r="A26" s="7" t="s">
        <v>316</v>
      </c>
      <c r="B26" s="7" t="s">
        <v>317</v>
      </c>
      <c r="C26" s="7" t="s">
        <v>50</v>
      </c>
      <c r="D26" s="7" t="s">
        <v>318</v>
      </c>
      <c r="E26" s="7" t="s">
        <v>160</v>
      </c>
      <c r="F26" s="55">
        <v>14</v>
      </c>
      <c r="G26" s="60">
        <v>3.5</v>
      </c>
      <c r="H26" s="20" t="s">
        <v>250</v>
      </c>
      <c r="I26" s="61">
        <v>1</v>
      </c>
      <c r="J26" s="7" t="s">
        <v>319</v>
      </c>
      <c r="K26" s="62">
        <v>0.55</v>
      </c>
      <c r="L26" s="55">
        <v>2600</v>
      </c>
      <c r="P26" s="63">
        <f>K26*L26</f>
        <v>1430.0000000000002</v>
      </c>
      <c r="Q26" s="49">
        <f>F26*G26*P26/I26</f>
        <v>70070.00000000001</v>
      </c>
      <c r="R26" s="26" t="s">
        <v>70</v>
      </c>
      <c r="S26" s="39">
        <v>21.424285285628553</v>
      </c>
      <c r="T26" s="17" t="s">
        <v>272</v>
      </c>
      <c r="U26" s="17" t="s">
        <v>320</v>
      </c>
      <c r="V26" s="17" t="s">
        <v>155</v>
      </c>
    </row>
    <row r="27" spans="1:22" x14ac:dyDescent="0.25">
      <c r="A27" s="7" t="s">
        <v>321</v>
      </c>
      <c r="B27" s="7" t="s">
        <v>322</v>
      </c>
      <c r="C27" s="7" t="s">
        <v>50</v>
      </c>
      <c r="D27" s="7" t="s">
        <v>318</v>
      </c>
      <c r="E27" s="7" t="s">
        <v>160</v>
      </c>
      <c r="F27" s="55">
        <v>1</v>
      </c>
      <c r="G27" s="60">
        <v>3</v>
      </c>
      <c r="H27" s="20" t="s">
        <v>250</v>
      </c>
      <c r="I27" s="61">
        <v>1</v>
      </c>
      <c r="J27" s="7" t="s">
        <v>323</v>
      </c>
      <c r="K27" s="62">
        <v>1</v>
      </c>
      <c r="L27" s="55">
        <v>8760</v>
      </c>
      <c r="P27" s="63">
        <f>K27*L27</f>
        <v>8760</v>
      </c>
      <c r="Q27" s="49">
        <f>F27*G27*P27/I27</f>
        <v>26280</v>
      </c>
      <c r="R27" s="26" t="s">
        <v>70</v>
      </c>
      <c r="S27" s="39">
        <v>15.588457268119896</v>
      </c>
      <c r="T27" s="17" t="s">
        <v>272</v>
      </c>
      <c r="U27" s="17" t="s">
        <v>324</v>
      </c>
      <c r="V27" s="17" t="s">
        <v>155</v>
      </c>
    </row>
    <row r="28" spans="1:22" x14ac:dyDescent="0.25">
      <c r="A28" s="7" t="s">
        <v>325</v>
      </c>
      <c r="B28" s="7" t="s">
        <v>326</v>
      </c>
      <c r="C28" s="7" t="s">
        <v>50</v>
      </c>
      <c r="D28" s="7" t="s">
        <v>318</v>
      </c>
      <c r="E28" s="7" t="s">
        <v>160</v>
      </c>
      <c r="F28" s="55">
        <v>1</v>
      </c>
      <c r="G28" s="60">
        <v>25</v>
      </c>
      <c r="H28" s="20" t="s">
        <v>250</v>
      </c>
      <c r="I28" s="61">
        <v>1</v>
      </c>
      <c r="J28" s="7" t="s">
        <v>327</v>
      </c>
      <c r="K28" s="62">
        <v>0.35</v>
      </c>
      <c r="L28" s="55">
        <v>2800</v>
      </c>
      <c r="P28" s="63">
        <f>K28*L28</f>
        <v>979.9999999999999</v>
      </c>
      <c r="Q28" s="49">
        <f>F28*G28*P28/I28</f>
        <v>24499.999999999996</v>
      </c>
      <c r="R28" s="26" t="s">
        <v>70</v>
      </c>
      <c r="S28" s="39">
        <v>21.424285285628553</v>
      </c>
      <c r="T28" s="17" t="s">
        <v>272</v>
      </c>
      <c r="U28" s="17" t="s">
        <v>328</v>
      </c>
      <c r="V28" s="17" t="s">
        <v>155</v>
      </c>
    </row>
    <row r="30" ht="18" customHeight="1" spans="1:6" x14ac:dyDescent="0.25">
      <c r="A30" s="5" t="s">
        <v>329</v>
      </c>
      <c r="B30" s="5"/>
      <c r="C30" s="5"/>
      <c r="D30" s="5"/>
      <c r="E30" s="5"/>
      <c r="F30" s="5"/>
    </row>
    <row r="31" ht="20" customHeight="1" spans="1:3" x14ac:dyDescent="0.25">
      <c r="A31" s="15" t="s">
        <v>159</v>
      </c>
      <c r="B31" s="16" t="s">
        <v>330</v>
      </c>
      <c r="C31" s="16" t="s">
        <v>331</v>
      </c>
    </row>
    <row r="32" spans="1:3" x14ac:dyDescent="0.25">
      <c r="A32" s="7" t="s">
        <v>160</v>
      </c>
      <c r="B32" s="46">
        <f>COUNTIF($E$6:$E$28,A32)</f>
        <v>19</v>
      </c>
      <c r="C32" s="51">
        <f>SUMIFS($Q$6:$Q$28,$E$6:$E$28,A32)</f>
        <v>2937478.5237118183</v>
      </c>
    </row>
    <row r="33" spans="1:3" x14ac:dyDescent="0.25">
      <c r="A33" s="7" t="s">
        <v>161</v>
      </c>
      <c r="B33" s="46">
        <f>COUNTIF($E$6:$E$28,A33)</f>
        <v>1</v>
      </c>
      <c r="C33" s="51">
        <f>SUMIFS($Q$6:$Q$28,$E$6:$E$28,A33)</f>
        <v>1989600</v>
      </c>
    </row>
    <row r="34" spans="1:3" x14ac:dyDescent="0.25">
      <c r="A34" s="7" t="s">
        <v>294</v>
      </c>
      <c r="B34" s="46">
        <f>COUNTIF($E$6:$E$28,A34)</f>
        <v>3</v>
      </c>
      <c r="C34" s="51">
        <f>SUMIFS($Q$6:$Q$28,$E$6:$E$28,A34)</f>
        <v>1075725</v>
      </c>
    </row>
  </sheetData>
  <pageMargins left="0.45" right="0.45" top="0.7" bottom="0.6" header="0.3" footer="0.3"/>
  <pageSetup paperSize="9" orientation="landscape" horizontalDpi="4294967295" verticalDpi="4294967295" scale="100" fitToWidth="1" fitToHeight="0"/>
  <headerFooter>
    <oddHeader>&amp;L&amp;"Arial"&amp;8Advanced Energy Audit · Demo Foods (Pty) Ltd (fictional)&amp;R&amp;"Arial"&amp;8&amp;A</oddHeader>
    <oddFooter>&amp;L&amp;"Arial"&amp;8Thabiso Kali, Certified Energy Manager · Fictional demonstration&amp;R&amp;"Arial"&amp;8Page &amp;P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A4C9C"/>
    <pageSetUpPr fitToPage="1"/>
  </sheetPr>
  <dimension ref="A1:M100"/>
  <sheetViews>
    <sheetView workbookViewId="0" showGridLines="0">
      <pane xSplit="2" ySplit="4" topLeftCell="C5" activePane="bottomRight" state="frozen"/>
      <selection pane="bottomRight"/>
    </sheetView>
  </sheetViews>
  <sheetFormatPr defaultRowHeight="15" outlineLevelRow="0" outlineLevelCol="0" x14ac:dyDescent="55"/>
  <cols>
    <col min="1" max="1" width="25" customWidth="1"/>
    <col min="2" max="2" width="40" customWidth="1"/>
    <col min="3" max="3" width="12" customWidth="1"/>
    <col min="4" max="4" width="17" customWidth="1"/>
    <col min="5" max="5" width="22" customWidth="1"/>
    <col min="6" max="6" width="16" customWidth="1"/>
    <col min="7" max="7" width="14" customWidth="1"/>
    <col min="8" max="8" width="16" customWidth="1"/>
    <col min="9" max="9" width="12" customWidth="1"/>
    <col min="10" max="10" width="24" customWidth="1"/>
    <col min="11" max="11" width="17" customWidth="1"/>
    <col min="12" max="12" width="30" customWidth="1"/>
    <col min="13" max="13" width="44" customWidth="1"/>
  </cols>
  <sheetData>
    <row r="1" ht="26" customHeight="1" spans="1:1" x14ac:dyDescent="0.25">
      <c r="A1" s="31" t="s">
        <v>332</v>
      </c>
    </row>
    <row r="2" spans="1:1" x14ac:dyDescent="0.25">
      <c r="A2" s="32" t="s">
        <v>333</v>
      </c>
    </row>
    <row r="3" spans="1:1" x14ac:dyDescent="0.25">
      <c r="A3" s="33" t="s">
        <v>91</v>
      </c>
    </row>
    <row r="5" ht="18" customHeight="1" spans="1:13" x14ac:dyDescent="0.25">
      <c r="A5" s="5" t="s">
        <v>334</v>
      </c>
      <c r="B5" s="5"/>
      <c r="C5" s="5"/>
      <c r="D5" s="5"/>
      <c r="E5" s="5"/>
      <c r="F5" s="5"/>
      <c r="G5" s="5"/>
      <c r="H5" s="5"/>
      <c r="I5" s="5"/>
      <c r="J5" s="5"/>
      <c r="K5" s="5"/>
      <c r="L5" s="5"/>
      <c r="M5" s="5"/>
    </row>
    <row r="6" ht="32" customHeight="1" spans="1:13" x14ac:dyDescent="0.25">
      <c r="A6" s="15" t="s">
        <v>335</v>
      </c>
      <c r="B6" s="16" t="s">
        <v>336</v>
      </c>
      <c r="C6" s="16" t="s">
        <v>159</v>
      </c>
      <c r="D6" s="16" t="s">
        <v>337</v>
      </c>
      <c r="E6" s="16" t="s">
        <v>338</v>
      </c>
      <c r="F6" s="16" t="s">
        <v>339</v>
      </c>
      <c r="G6" s="16" t="s">
        <v>340</v>
      </c>
      <c r="H6" s="16" t="s">
        <v>341</v>
      </c>
      <c r="I6" s="16" t="s">
        <v>342</v>
      </c>
      <c r="J6" s="16" t="s">
        <v>343</v>
      </c>
      <c r="K6" s="16" t="s">
        <v>344</v>
      </c>
      <c r="L6" s="16" t="s">
        <v>345</v>
      </c>
      <c r="M6" s="16" t="s">
        <v>346</v>
      </c>
    </row>
    <row r="7" spans="1:13" x14ac:dyDescent="0.25">
      <c r="A7" s="7" t="s">
        <v>347</v>
      </c>
      <c r="B7" s="7" t="s">
        <v>348</v>
      </c>
      <c r="C7" s="7" t="s">
        <v>160</v>
      </c>
      <c r="D7" s="64">
        <f>Bills!$C$17+E14</f>
        <v>2966404</v>
      </c>
      <c r="E7" s="51">
        <f>F23+F24+F25+F26+F27+F28</f>
        <v>2771775.5520634665</v>
      </c>
      <c r="F7" s="51">
        <f>D7-E7</f>
        <v>194628.44793653348</v>
      </c>
      <c r="G7" s="65">
        <f>IF(D7&lt;&gt;0,F7/D7,0)</f>
        <v>0.0656109039552716</v>
      </c>
      <c r="H7" s="39">
        <v>5.303976365260414</v>
      </c>
      <c r="I7" s="66">
        <f>BalanceTolerance</f>
        <v>0.1</v>
      </c>
      <c r="J7" s="37" t="str">
        <f>IF(IF(D7&lt;&gt;0,ABS(F7/D7)&lt;=I7+1E-12,E7=0),"Within tolerance","Outside tolerance: review")</f>
        <v>Within tolerance</v>
      </c>
      <c r="K7" s="49">
        <f>F7</f>
        <v>194628.44793653348</v>
      </c>
      <c r="L7" s="17" t="s">
        <v>41</v>
      </c>
      <c r="M7" s="17" t="str">
        <f>IF(F7&lt;-0.000001,"Bottom-up above the meter: review the largest uncertain items",IF(F7&gt;0.000001,"Remainder shown as unaccounted (not forced)","Closes exactly"))</f>
        <v>Remainder shown as unaccounted (not forced)</v>
      </c>
    </row>
    <row r="8" spans="1:13" x14ac:dyDescent="0.25">
      <c r="A8" s="7" t="s">
        <v>162</v>
      </c>
      <c r="B8" s="7" t="s">
        <v>349</v>
      </c>
      <c r="C8" s="7" t="s">
        <v>162</v>
      </c>
      <c r="D8" s="64">
        <f>Bills!$E$17</f>
        <v>65216.666666666664</v>
      </c>
      <c r="E8" s="51">
        <f>F20</f>
        <v>62941.17647058823</v>
      </c>
      <c r="F8" s="51">
        <f>D8-E8</f>
        <v>2275.4901960784337</v>
      </c>
      <c r="G8" s="65">
        <f>IF(D8&lt;&gt;0,F8/D8,0)</f>
        <v>0.03489123735361769</v>
      </c>
      <c r="H8" s="39">
        <v>18.34983243014688</v>
      </c>
      <c r="I8" s="66">
        <f>BalanceTolerance</f>
        <v>0.1</v>
      </c>
      <c r="J8" s="37" t="str">
        <f>IF(IF(D8&lt;&gt;0,ABS(F8/D8)&lt;=I8+1E-12,E8=0),"Within tolerance","Outside tolerance: review")</f>
        <v>Within tolerance</v>
      </c>
      <c r="K8" s="49">
        <f>F8</f>
        <v>2275.4901960784337</v>
      </c>
      <c r="L8" s="17" t="s">
        <v>52</v>
      </c>
      <c r="M8" s="17" t="str">
        <f>IF(F8&lt;-0.000001,"Bottom-up above the meter: review the largest uncertain items",IF(F8&gt;0.000001,"Remainder shown as unaccounted (not forced)","Closes exactly"))</f>
        <v>Remainder shown as unaccounted (not forced)</v>
      </c>
    </row>
    <row r="9" spans="1:13" x14ac:dyDescent="0.25">
      <c r="A9" s="7" t="s">
        <v>161</v>
      </c>
      <c r="B9" s="7" t="s">
        <v>350</v>
      </c>
      <c r="C9" s="7" t="s">
        <v>161</v>
      </c>
      <c r="D9" s="64">
        <f>Bills!$D$17</f>
        <v>3902263.1388888885</v>
      </c>
      <c r="E9" s="51">
        <f>F29+F30</f>
        <v>3778311.7443135655</v>
      </c>
      <c r="F9" s="51">
        <f>D9-E9</f>
        <v>123951.39457532298</v>
      </c>
      <c r="G9" s="65">
        <f>IF(D9&lt;&gt;0,F9/D9,0)</f>
        <v>0.03176397648330202</v>
      </c>
      <c r="H9" s="39">
        <v>12.902170632909407</v>
      </c>
      <c r="I9" s="66">
        <f>BalanceTolerance</f>
        <v>0.1</v>
      </c>
      <c r="J9" s="37" t="str">
        <f>IF(IF(D9&lt;&gt;0,ABS(F9/D9)&lt;=I9+1E-12,E9=0),"Within tolerance","Outside tolerance: review")</f>
        <v>Within tolerance</v>
      </c>
      <c r="K9" s="49">
        <f>F9</f>
        <v>123951.39457532298</v>
      </c>
      <c r="L9" s="17" t="s">
        <v>41</v>
      </c>
      <c r="M9" s="17" t="str">
        <f>IF(F9&lt;-0.000001,"Bottom-up above the meter: review the largest uncertain items",IF(F9&gt;0.000001,"Remainder shown as unaccounted (not forced)","Closes exactly"))</f>
        <v>Remainder shown as unaccounted (not forced)</v>
      </c>
    </row>
    <row r="10" spans="1:11" x14ac:dyDescent="0.25">
      <c r="A10" s="67" t="s">
        <v>351</v>
      </c>
      <c r="B10" s="67" t="s">
        <v>352</v>
      </c>
      <c r="C10" s="67" t="s">
        <v>353</v>
      </c>
      <c r="D10" s="68">
        <f>Bills!$C$17+Bills!$D$17+Bills!$E$17</f>
        <v>6912483.805555555</v>
      </c>
      <c r="E10" s="68">
        <f>D10-K10</f>
        <v>6591628.47284762</v>
      </c>
      <c r="F10" s="68">
        <f>K10</f>
        <v>320855.3327079349</v>
      </c>
      <c r="G10" s="69">
        <f>IF(D10&lt;&gt;0,K10/D10,0)</f>
        <v>0.046416793403561224</v>
      </c>
      <c r="K10" s="68">
        <f>SUM($K$7:$K$9)</f>
        <v>320855.3327079349</v>
      </c>
    </row>
    <row r="12" ht="18" customHeight="1" spans="1:9" x14ac:dyDescent="0.25">
      <c r="A12" s="5" t="s">
        <v>354</v>
      </c>
      <c r="B12" s="5"/>
      <c r="C12" s="5"/>
      <c r="D12" s="5"/>
      <c r="E12" s="5"/>
      <c r="F12" s="5"/>
      <c r="G12" s="5"/>
      <c r="H12" s="5"/>
      <c r="I12" s="5"/>
    </row>
    <row r="13" ht="30" customHeight="1" spans="1:9" x14ac:dyDescent="0.25">
      <c r="A13" s="15" t="s">
        <v>355</v>
      </c>
      <c r="B13" s="16" t="s">
        <v>356</v>
      </c>
      <c r="C13" s="16" t="s">
        <v>235</v>
      </c>
      <c r="D13" s="16" t="s">
        <v>357</v>
      </c>
      <c r="E13" s="16" t="s">
        <v>358</v>
      </c>
      <c r="F13" s="16" t="s">
        <v>359</v>
      </c>
      <c r="G13" s="16" t="s">
        <v>360</v>
      </c>
      <c r="H13" s="16" t="s">
        <v>361</v>
      </c>
      <c r="I13" s="16" t="s">
        <v>362</v>
      </c>
    </row>
    <row r="14" spans="1:9" x14ac:dyDescent="0.25">
      <c r="A14" s="7" t="s">
        <v>363</v>
      </c>
      <c r="B14" s="7" t="s">
        <v>364</v>
      </c>
      <c r="C14" s="62">
        <v>0.34</v>
      </c>
      <c r="D14" s="27" t="s">
        <v>72</v>
      </c>
      <c r="E14" s="70">
        <v>21400</v>
      </c>
      <c r="F14" s="51">
        <f>E14</f>
        <v>21400</v>
      </c>
      <c r="G14" s="51">
        <f>F14/C14</f>
        <v>62941.17647058823</v>
      </c>
      <c r="H14" s="51">
        <f>G14-F14</f>
        <v>41541.17647058823</v>
      </c>
      <c r="I14" s="7" t="s">
        <v>365</v>
      </c>
    </row>
    <row r="15" spans="1:9" x14ac:dyDescent="0.25">
      <c r="A15" s="7" t="s">
        <v>366</v>
      </c>
      <c r="B15" s="7" t="s">
        <v>367</v>
      </c>
      <c r="C15" s="62">
        <v>0.8</v>
      </c>
      <c r="D15" s="26" t="s">
        <v>70</v>
      </c>
      <c r="E15" s="70"/>
      <c r="F15" s="51">
        <f>F31+F33</f>
        <v>1430969.3954508523</v>
      </c>
      <c r="G15" s="51">
        <f>F15/C15</f>
        <v>1788711.7443135653</v>
      </c>
      <c r="H15" s="51">
        <f>G15-F15</f>
        <v>357742.34886271297</v>
      </c>
      <c r="I15" s="7" t="s">
        <v>368</v>
      </c>
    </row>
    <row r="17" ht="18" customHeight="1" spans="1:9" x14ac:dyDescent="0.25">
      <c r="A17" s="5" t="s">
        <v>369</v>
      </c>
      <c r="B17" s="5"/>
      <c r="C17" s="5"/>
      <c r="D17" s="5"/>
      <c r="E17" s="5"/>
      <c r="F17" s="5"/>
      <c r="G17" s="5"/>
      <c r="H17" s="5"/>
      <c r="I17" s="5"/>
    </row>
    <row r="18" ht="30" customHeight="1" spans="1:9" x14ac:dyDescent="0.25">
      <c r="A18" s="15" t="s">
        <v>370</v>
      </c>
      <c r="B18" s="16" t="s">
        <v>371</v>
      </c>
      <c r="C18" s="16" t="s">
        <v>372</v>
      </c>
      <c r="D18" s="16" t="s">
        <v>159</v>
      </c>
      <c r="E18" s="16" t="s">
        <v>373</v>
      </c>
      <c r="F18" s="16" t="s">
        <v>374</v>
      </c>
      <c r="G18" s="16" t="s">
        <v>96</v>
      </c>
      <c r="H18" s="16" t="s">
        <v>97</v>
      </c>
      <c r="I18" s="16" t="s">
        <v>375</v>
      </c>
    </row>
    <row r="19" spans="1:9" x14ac:dyDescent="0.25">
      <c r="A19" s="7" t="s">
        <v>376</v>
      </c>
      <c r="B19" s="7" t="s">
        <v>164</v>
      </c>
      <c r="C19" s="7" t="s">
        <v>347</v>
      </c>
      <c r="D19" s="7" t="s">
        <v>160</v>
      </c>
      <c r="E19" s="17" t="s">
        <v>377</v>
      </c>
      <c r="F19" s="64">
        <f>Bills!$C$17</f>
        <v>2945004</v>
      </c>
      <c r="G19" s="24" t="s">
        <v>66</v>
      </c>
      <c r="H19" s="39">
        <v>2</v>
      </c>
      <c r="I19" s="17" t="s">
        <v>378</v>
      </c>
    </row>
    <row r="20" spans="1:9" x14ac:dyDescent="0.25">
      <c r="A20" s="7" t="s">
        <v>379</v>
      </c>
      <c r="B20" s="7" t="s">
        <v>162</v>
      </c>
      <c r="C20" s="7" t="s">
        <v>363</v>
      </c>
      <c r="D20" s="7" t="s">
        <v>162</v>
      </c>
      <c r="E20" s="17" t="s">
        <v>380</v>
      </c>
      <c r="F20" s="51">
        <f>G14</f>
        <v>62941.17647058823</v>
      </c>
      <c r="G20" s="27" t="s">
        <v>72</v>
      </c>
      <c r="H20" s="39">
        <v>18.027756377319946</v>
      </c>
      <c r="I20" s="17" t="s">
        <v>378</v>
      </c>
    </row>
    <row r="21" spans="1:9" x14ac:dyDescent="0.25">
      <c r="A21" s="7" t="s">
        <v>381</v>
      </c>
      <c r="B21" s="7" t="s">
        <v>363</v>
      </c>
      <c r="C21" s="7" t="s">
        <v>347</v>
      </c>
      <c r="D21" s="7" t="s">
        <v>160</v>
      </c>
      <c r="E21" s="17" t="s">
        <v>382</v>
      </c>
      <c r="F21" s="51">
        <f>E14</f>
        <v>21400</v>
      </c>
      <c r="G21" s="26" t="s">
        <v>70</v>
      </c>
      <c r="H21" s="39">
        <v>15</v>
      </c>
      <c r="I21" s="17" t="s">
        <v>378</v>
      </c>
    </row>
    <row r="22" spans="1:9" x14ac:dyDescent="0.25">
      <c r="A22" s="7" t="s">
        <v>383</v>
      </c>
      <c r="B22" s="7" t="s">
        <v>363</v>
      </c>
      <c r="C22" s="7" t="s">
        <v>365</v>
      </c>
      <c r="D22" s="7" t="s">
        <v>384</v>
      </c>
      <c r="E22" s="17" t="s">
        <v>385</v>
      </c>
      <c r="F22" s="51">
        <f>H14</f>
        <v>41541.17647058823</v>
      </c>
      <c r="G22" s="27" t="s">
        <v>72</v>
      </c>
      <c r="H22" s="39">
        <v>10</v>
      </c>
      <c r="I22" s="17" t="s">
        <v>386</v>
      </c>
    </row>
    <row r="23" spans="1:9" x14ac:dyDescent="0.25">
      <c r="A23" s="7" t="s">
        <v>387</v>
      </c>
      <c r="B23" s="7" t="s">
        <v>347</v>
      </c>
      <c r="C23" s="7" t="s">
        <v>249</v>
      </c>
      <c r="D23" s="7" t="s">
        <v>160</v>
      </c>
      <c r="E23" s="17" t="s">
        <v>380</v>
      </c>
      <c r="F23" s="51">
        <f>SUMIFS($H$45:$H$68,$C$45:$C$68,C23,$D$45:$D$68,D23)</f>
        <v>523716.15692307695</v>
      </c>
      <c r="G23" s="26" t="s">
        <v>70</v>
      </c>
      <c r="H23" s="39">
        <v>7.444057114386675</v>
      </c>
      <c r="I23" s="17" t="s">
        <v>378</v>
      </c>
    </row>
    <row r="24" spans="1:9" x14ac:dyDescent="0.25">
      <c r="A24" s="7" t="s">
        <v>388</v>
      </c>
      <c r="B24" s="7" t="s">
        <v>347</v>
      </c>
      <c r="C24" s="7" t="s">
        <v>256</v>
      </c>
      <c r="D24" s="7" t="s">
        <v>160</v>
      </c>
      <c r="E24" s="17" t="s">
        <v>380</v>
      </c>
      <c r="F24" s="51">
        <f>SUMIFS($H$45:$H$68,$C$45:$C$68,C24,$D$45:$D$68,D24)</f>
        <v>857746.8714285712</v>
      </c>
      <c r="G24" s="26" t="s">
        <v>70</v>
      </c>
      <c r="H24" s="39">
        <v>12.36931687685298</v>
      </c>
      <c r="I24" s="17" t="s">
        <v>378</v>
      </c>
    </row>
    <row r="25" spans="1:9" x14ac:dyDescent="0.25">
      <c r="A25" s="7" t="s">
        <v>389</v>
      </c>
      <c r="B25" s="7" t="s">
        <v>347</v>
      </c>
      <c r="C25" s="7" t="s">
        <v>269</v>
      </c>
      <c r="D25" s="7" t="s">
        <v>160</v>
      </c>
      <c r="E25" s="17" t="s">
        <v>380</v>
      </c>
      <c r="F25" s="51">
        <f>SUMIFS($H$45:$H$68,$C$45:$C$68,C25,$D$45:$D$68,D25)</f>
        <v>768727.5237118183</v>
      </c>
      <c r="G25" s="26" t="s">
        <v>70</v>
      </c>
      <c r="H25" s="39">
        <v>10.06444753194986</v>
      </c>
      <c r="I25" s="17" t="s">
        <v>378</v>
      </c>
    </row>
    <row r="26" spans="1:9" x14ac:dyDescent="0.25">
      <c r="A26" s="7" t="s">
        <v>390</v>
      </c>
      <c r="B26" s="7" t="s">
        <v>347</v>
      </c>
      <c r="C26" s="7" t="s">
        <v>285</v>
      </c>
      <c r="D26" s="7" t="s">
        <v>160</v>
      </c>
      <c r="E26" s="17" t="s">
        <v>380</v>
      </c>
      <c r="F26" s="51">
        <f>SUMIFS($H$45:$H$68,$C$45:$C$68,C26,$D$45:$D$68,D26)</f>
        <v>180375</v>
      </c>
      <c r="G26" s="26" t="s">
        <v>70</v>
      </c>
      <c r="H26" s="39">
        <v>21.424285285628553</v>
      </c>
      <c r="I26" s="17" t="s">
        <v>378</v>
      </c>
    </row>
    <row r="27" spans="1:9" x14ac:dyDescent="0.25">
      <c r="A27" s="7" t="s">
        <v>391</v>
      </c>
      <c r="B27" s="7" t="s">
        <v>347</v>
      </c>
      <c r="C27" s="7" t="s">
        <v>305</v>
      </c>
      <c r="D27" s="7" t="s">
        <v>160</v>
      </c>
      <c r="E27" s="17" t="s">
        <v>380</v>
      </c>
      <c r="F27" s="51">
        <f>SUMIFS($H$45:$H$68,$C$45:$C$68,C27,$D$45:$D$68,D27)</f>
        <v>320360</v>
      </c>
      <c r="G27" s="26" t="s">
        <v>70</v>
      </c>
      <c r="H27" s="39">
        <v>8.549004200445232</v>
      </c>
      <c r="I27" s="17" t="s">
        <v>378</v>
      </c>
    </row>
    <row r="28" spans="1:9" x14ac:dyDescent="0.25">
      <c r="A28" s="7" t="s">
        <v>392</v>
      </c>
      <c r="B28" s="7" t="s">
        <v>347</v>
      </c>
      <c r="C28" s="7" t="s">
        <v>318</v>
      </c>
      <c r="D28" s="7" t="s">
        <v>160</v>
      </c>
      <c r="E28" s="17" t="s">
        <v>380</v>
      </c>
      <c r="F28" s="51">
        <f>SUMIFS($H$45:$H$68,$C$45:$C$68,C28,$D$45:$D$68,D28)</f>
        <v>120850.00000000001</v>
      </c>
      <c r="G28" s="26" t="s">
        <v>70</v>
      </c>
      <c r="H28" s="39">
        <v>13.589047420459464</v>
      </c>
      <c r="I28" s="17" t="s">
        <v>378</v>
      </c>
    </row>
    <row r="29" spans="1:9" x14ac:dyDescent="0.25">
      <c r="A29" s="7" t="s">
        <v>393</v>
      </c>
      <c r="B29" s="7" t="s">
        <v>161</v>
      </c>
      <c r="C29" s="7" t="s">
        <v>285</v>
      </c>
      <c r="D29" s="7" t="s">
        <v>161</v>
      </c>
      <c r="E29" s="17" t="s">
        <v>380</v>
      </c>
      <c r="F29" s="51">
        <f>SUMIFS($H$45:$H$68,$C$45:$C$68,C29,$D$45:$D$68,D29)</f>
        <v>1989600</v>
      </c>
      <c r="G29" s="26" t="s">
        <v>70</v>
      </c>
      <c r="H29" s="39">
        <v>20.31742766995271</v>
      </c>
      <c r="I29" s="17" t="s">
        <v>378</v>
      </c>
    </row>
    <row r="30" spans="1:9" x14ac:dyDescent="0.25">
      <c r="A30" s="7" t="s">
        <v>394</v>
      </c>
      <c r="B30" s="7" t="s">
        <v>161</v>
      </c>
      <c r="C30" s="7" t="s">
        <v>366</v>
      </c>
      <c r="D30" s="7" t="s">
        <v>161</v>
      </c>
      <c r="E30" s="17" t="s">
        <v>380</v>
      </c>
      <c r="F30" s="51">
        <f>G15</f>
        <v>1788711.7443135653</v>
      </c>
      <c r="G30" s="27" t="s">
        <v>72</v>
      </c>
      <c r="H30" s="39">
        <v>13.99582252478378</v>
      </c>
      <c r="I30" s="17" t="s">
        <v>378</v>
      </c>
    </row>
    <row r="31" spans="1:9" x14ac:dyDescent="0.25">
      <c r="A31" s="7" t="s">
        <v>395</v>
      </c>
      <c r="B31" s="7" t="s">
        <v>366</v>
      </c>
      <c r="C31" s="7" t="s">
        <v>396</v>
      </c>
      <c r="D31" s="7" t="s">
        <v>294</v>
      </c>
      <c r="E31" s="17" t="s">
        <v>380</v>
      </c>
      <c r="F31" s="51">
        <f>F34+F35+F36+F37+F38</f>
        <v>1418058.2047993217</v>
      </c>
      <c r="G31" s="27" t="s">
        <v>72</v>
      </c>
      <c r="H31" s="39">
        <v>13.52650461262306</v>
      </c>
      <c r="I31" s="17" t="s">
        <v>378</v>
      </c>
    </row>
    <row r="32" spans="1:9" x14ac:dyDescent="0.25">
      <c r="A32" s="7" t="s">
        <v>397</v>
      </c>
      <c r="B32" s="7" t="s">
        <v>366</v>
      </c>
      <c r="C32" s="7" t="s">
        <v>368</v>
      </c>
      <c r="D32" s="7" t="s">
        <v>384</v>
      </c>
      <c r="E32" s="17" t="s">
        <v>385</v>
      </c>
      <c r="F32" s="51">
        <f>H15</f>
        <v>357742.34886271297</v>
      </c>
      <c r="G32" s="26" t="s">
        <v>70</v>
      </c>
      <c r="H32" s="39">
        <v>4</v>
      </c>
      <c r="I32" s="17" t="s">
        <v>386</v>
      </c>
    </row>
    <row r="33" spans="1:9" x14ac:dyDescent="0.25">
      <c r="A33" s="7" t="s">
        <v>398</v>
      </c>
      <c r="B33" s="7" t="s">
        <v>366</v>
      </c>
      <c r="C33" s="7" t="s">
        <v>399</v>
      </c>
      <c r="D33" s="7" t="s">
        <v>384</v>
      </c>
      <c r="E33" s="17" t="s">
        <v>380</v>
      </c>
      <c r="F33" s="51">
        <f>SUMIFS($H$45:$H$68,$C$45:$C$68,C33,$D$45:$D$68,D33)</f>
        <v>12911.19065153059</v>
      </c>
      <c r="G33" s="27" t="s">
        <v>72</v>
      </c>
      <c r="H33" s="39">
        <v>50</v>
      </c>
      <c r="I33" s="17" t="s">
        <v>386</v>
      </c>
    </row>
    <row r="34" spans="1:9" x14ac:dyDescent="0.25">
      <c r="A34" s="7" t="s">
        <v>400</v>
      </c>
      <c r="B34" s="7" t="s">
        <v>396</v>
      </c>
      <c r="C34" s="7" t="s">
        <v>293</v>
      </c>
      <c r="D34" s="7" t="s">
        <v>294</v>
      </c>
      <c r="E34" s="17" t="s">
        <v>380</v>
      </c>
      <c r="F34" s="51">
        <f>SUMIFS($H$45:$H$68,$C$45:$C$68,C34,$D$45:$D$68,D34)</f>
        <v>467615.9367496277</v>
      </c>
      <c r="G34" s="26" t="s">
        <v>70</v>
      </c>
      <c r="H34" s="39">
        <v>25.980762113533164</v>
      </c>
      <c r="I34" s="17" t="s">
        <v>378</v>
      </c>
    </row>
    <row r="35" spans="1:9" x14ac:dyDescent="0.25">
      <c r="A35" s="7" t="s">
        <v>401</v>
      </c>
      <c r="B35" s="7" t="s">
        <v>396</v>
      </c>
      <c r="C35" s="7" t="s">
        <v>299</v>
      </c>
      <c r="D35" s="7" t="s">
        <v>294</v>
      </c>
      <c r="E35" s="17" t="s">
        <v>380</v>
      </c>
      <c r="F35" s="51">
        <f>SUMIFS($H$45:$H$68,$C$45:$C$68,C35,$D$45:$D$68,D35)</f>
        <v>357206.6183504101</v>
      </c>
      <c r="G35" s="26" t="s">
        <v>70</v>
      </c>
      <c r="H35" s="39">
        <v>25.980762113533164</v>
      </c>
      <c r="I35" s="17" t="s">
        <v>378</v>
      </c>
    </row>
    <row r="36" spans="1:9" x14ac:dyDescent="0.25">
      <c r="A36" s="7" t="s">
        <v>402</v>
      </c>
      <c r="B36" s="7" t="s">
        <v>396</v>
      </c>
      <c r="C36" s="7" t="s">
        <v>302</v>
      </c>
      <c r="D36" s="7" t="s">
        <v>294</v>
      </c>
      <c r="E36" s="17" t="s">
        <v>380</v>
      </c>
      <c r="F36" s="51">
        <f>SUMIFS($H$45:$H$68,$C$45:$C$68,C36,$D$45:$D$68,D36)</f>
        <v>250044.63284528704</v>
      </c>
      <c r="G36" s="26" t="s">
        <v>70</v>
      </c>
      <c r="H36" s="39">
        <v>25.980762113533164</v>
      </c>
      <c r="I36" s="17" t="s">
        <v>378</v>
      </c>
    </row>
    <row r="37" spans="1:9" x14ac:dyDescent="0.25">
      <c r="A37" s="7" t="s">
        <v>403</v>
      </c>
      <c r="B37" s="7" t="s">
        <v>396</v>
      </c>
      <c r="C37" s="7" t="s">
        <v>404</v>
      </c>
      <c r="D37" s="7" t="s">
        <v>294</v>
      </c>
      <c r="E37" s="17" t="s">
        <v>380</v>
      </c>
      <c r="F37" s="51">
        <f>SUMIFS($H$45:$H$68,$C$45:$C$68,C37,$D$45:$D$68,D37)</f>
        <v>178905.94772919762</v>
      </c>
      <c r="G37" s="27" t="s">
        <v>72</v>
      </c>
      <c r="H37" s="39">
        <v>46.44859813084112</v>
      </c>
      <c r="I37" s="17" t="s">
        <v>386</v>
      </c>
    </row>
    <row r="38" spans="1:9" x14ac:dyDescent="0.25">
      <c r="A38" s="7" t="s">
        <v>405</v>
      </c>
      <c r="B38" s="7" t="s">
        <v>396</v>
      </c>
      <c r="C38" s="7" t="s">
        <v>406</v>
      </c>
      <c r="D38" s="7" t="s">
        <v>294</v>
      </c>
      <c r="E38" s="17" t="s">
        <v>380</v>
      </c>
      <c r="F38" s="51">
        <f>SUMIFS($H$45:$H$68,$C$45:$C$68,C38,$D$45:$D$68,D38)</f>
        <v>164285.06912479945</v>
      </c>
      <c r="G38" s="26" t="s">
        <v>70</v>
      </c>
      <c r="H38" s="39">
        <v>29.1547594742265</v>
      </c>
      <c r="I38" s="17" t="s">
        <v>386</v>
      </c>
    </row>
    <row r="39" spans="1:9" x14ac:dyDescent="0.25">
      <c r="A39" s="7" t="s">
        <v>407</v>
      </c>
      <c r="B39" s="7" t="s">
        <v>347</v>
      </c>
      <c r="C39" s="7" t="s">
        <v>408</v>
      </c>
      <c r="D39" s="7" t="s">
        <v>160</v>
      </c>
      <c r="E39" s="17" t="s">
        <v>409</v>
      </c>
      <c r="F39" s="51">
        <f>MAX(0,K7)</f>
        <v>194628.44793653348</v>
      </c>
      <c r="G39" s="25" t="s">
        <v>68</v>
      </c>
      <c r="H39" s="39">
        <v>80.8398611437552</v>
      </c>
      <c r="I39" s="17" t="s">
        <v>410</v>
      </c>
    </row>
    <row r="40" spans="1:9" x14ac:dyDescent="0.25">
      <c r="A40" s="7" t="s">
        <v>411</v>
      </c>
      <c r="B40" s="7" t="s">
        <v>162</v>
      </c>
      <c r="C40" s="7" t="s">
        <v>412</v>
      </c>
      <c r="D40" s="7" t="s">
        <v>162</v>
      </c>
      <c r="E40" s="17" t="s">
        <v>409</v>
      </c>
      <c r="F40" s="51">
        <f>MAX(0,K8)</f>
        <v>2275.4901960784337</v>
      </c>
      <c r="G40" s="25" t="s">
        <v>68</v>
      </c>
      <c r="H40" s="39">
        <v>525.9152102911673</v>
      </c>
      <c r="I40" s="17" t="s">
        <v>410</v>
      </c>
    </row>
    <row r="41" spans="1:9" x14ac:dyDescent="0.25">
      <c r="A41" s="7" t="s">
        <v>413</v>
      </c>
      <c r="B41" s="7" t="s">
        <v>161</v>
      </c>
      <c r="C41" s="7" t="s">
        <v>414</v>
      </c>
      <c r="D41" s="7" t="s">
        <v>161</v>
      </c>
      <c r="E41" s="17" t="s">
        <v>409</v>
      </c>
      <c r="F41" s="51">
        <f>MAX(0,K9)</f>
        <v>123951.39457532298</v>
      </c>
      <c r="G41" s="25" t="s">
        <v>68</v>
      </c>
      <c r="H41" s="39">
        <v>406.1887729860252</v>
      </c>
      <c r="I41" s="17" t="s">
        <v>410</v>
      </c>
    </row>
    <row r="43" ht="18" customHeight="1" spans="1:12" x14ac:dyDescent="0.25">
      <c r="A43" s="5" t="s">
        <v>415</v>
      </c>
      <c r="B43" s="5"/>
      <c r="C43" s="5"/>
      <c r="D43" s="5"/>
      <c r="E43" s="5"/>
      <c r="F43" s="5"/>
      <c r="G43" s="5"/>
      <c r="H43" s="5"/>
      <c r="I43" s="5"/>
      <c r="J43" s="5"/>
      <c r="K43" s="5"/>
      <c r="L43" s="5"/>
    </row>
    <row r="44" ht="30" customHeight="1" spans="1:12" x14ac:dyDescent="0.25">
      <c r="A44" s="15" t="s">
        <v>416</v>
      </c>
      <c r="B44" s="16" t="s">
        <v>231</v>
      </c>
      <c r="C44" s="16" t="s">
        <v>355</v>
      </c>
      <c r="D44" s="16" t="s">
        <v>159</v>
      </c>
      <c r="E44" s="16" t="s">
        <v>23</v>
      </c>
      <c r="F44" s="16" t="s">
        <v>417</v>
      </c>
      <c r="G44" s="16" t="s">
        <v>418</v>
      </c>
      <c r="H44" s="16" t="s">
        <v>419</v>
      </c>
      <c r="I44" s="16" t="s">
        <v>96</v>
      </c>
      <c r="J44" s="16" t="s">
        <v>97</v>
      </c>
      <c r="K44" s="16" t="s">
        <v>420</v>
      </c>
      <c r="L44" s="16" t="s">
        <v>421</v>
      </c>
    </row>
    <row r="45" spans="1:11" x14ac:dyDescent="0.25">
      <c r="A45" s="7" t="s">
        <v>422</v>
      </c>
      <c r="B45" s="7" t="s">
        <v>423</v>
      </c>
      <c r="C45" s="7" t="s">
        <v>249</v>
      </c>
      <c r="D45" s="7" t="s">
        <v>160</v>
      </c>
      <c r="E45" s="20" t="s">
        <v>424</v>
      </c>
      <c r="F45" s="71">
        <v>523716.15692307695</v>
      </c>
      <c r="G45" s="72">
        <v>1</v>
      </c>
      <c r="H45" s="49">
        <f>F45*G45</f>
        <v>523716.15692307695</v>
      </c>
      <c r="I45" s="26" t="s">
        <v>70</v>
      </c>
      <c r="J45" s="39">
        <v>7.444057114386675</v>
      </c>
      <c r="K45" s="17" t="s">
        <v>425</v>
      </c>
    </row>
    <row r="46" spans="1:11" x14ac:dyDescent="0.25">
      <c r="A46" s="7" t="s">
        <v>426</v>
      </c>
      <c r="B46" s="7" t="s">
        <v>427</v>
      </c>
      <c r="C46" s="7" t="s">
        <v>256</v>
      </c>
      <c r="D46" s="7" t="s">
        <v>160</v>
      </c>
      <c r="E46" s="20" t="s">
        <v>428</v>
      </c>
      <c r="F46" s="71">
        <v>857746.8714285712</v>
      </c>
      <c r="G46" s="72">
        <v>1</v>
      </c>
      <c r="H46" s="49">
        <f>F46*G46</f>
        <v>857746.8714285712</v>
      </c>
      <c r="I46" s="26" t="s">
        <v>70</v>
      </c>
      <c r="J46" s="39">
        <v>12.36931687685298</v>
      </c>
      <c r="K46" s="17" t="s">
        <v>429</v>
      </c>
    </row>
    <row r="47" spans="1:11" x14ac:dyDescent="0.25">
      <c r="A47" s="7" t="s">
        <v>430</v>
      </c>
      <c r="B47" s="7" t="s">
        <v>268</v>
      </c>
      <c r="C47" s="7" t="s">
        <v>269</v>
      </c>
      <c r="D47" s="7" t="s">
        <v>160</v>
      </c>
      <c r="E47" s="20" t="s">
        <v>431</v>
      </c>
      <c r="F47" s="64">
        <f>Inventory!$Q$11</f>
        <v>173076.92307692306</v>
      </c>
      <c r="G47" s="72">
        <v>1</v>
      </c>
      <c r="H47" s="49">
        <f>F47*G47</f>
        <v>173076.92307692306</v>
      </c>
      <c r="I47" s="26" t="s">
        <v>70</v>
      </c>
      <c r="J47" s="39">
        <v>21.517434791350016</v>
      </c>
      <c r="K47" s="17" t="s">
        <v>432</v>
      </c>
    </row>
    <row r="48" spans="1:11" x14ac:dyDescent="0.25">
      <c r="A48" s="7" t="s">
        <v>433</v>
      </c>
      <c r="B48" s="7" t="s">
        <v>275</v>
      </c>
      <c r="C48" s="7" t="s">
        <v>269</v>
      </c>
      <c r="D48" s="7" t="s">
        <v>160</v>
      </c>
      <c r="E48" s="20" t="s">
        <v>431</v>
      </c>
      <c r="F48" s="64">
        <f>Inventory!$Q$12</f>
        <v>199949.24731182793</v>
      </c>
      <c r="G48" s="72">
        <v>1</v>
      </c>
      <c r="H48" s="49">
        <f>F48*G48</f>
        <v>199949.24731182793</v>
      </c>
      <c r="I48" s="26" t="s">
        <v>70</v>
      </c>
      <c r="J48" s="39">
        <v>21.517434791350016</v>
      </c>
      <c r="K48" s="17" t="s">
        <v>432</v>
      </c>
    </row>
    <row r="49" spans="1:11" x14ac:dyDescent="0.25">
      <c r="A49" s="7" t="s">
        <v>434</v>
      </c>
      <c r="B49" s="7" t="s">
        <v>278</v>
      </c>
      <c r="C49" s="7" t="s">
        <v>269</v>
      </c>
      <c r="D49" s="7" t="s">
        <v>160</v>
      </c>
      <c r="E49" s="20" t="s">
        <v>431</v>
      </c>
      <c r="F49" s="64">
        <f>Inventory!$Q$13</f>
        <v>151641.13785557987</v>
      </c>
      <c r="G49" s="72">
        <v>1</v>
      </c>
      <c r="H49" s="49">
        <f>F49*G49</f>
        <v>151641.13785557987</v>
      </c>
      <c r="I49" s="26" t="s">
        <v>70</v>
      </c>
      <c r="J49" s="39">
        <v>21.517434791350016</v>
      </c>
      <c r="K49" s="17" t="s">
        <v>432</v>
      </c>
    </row>
    <row r="50" spans="1:11" x14ac:dyDescent="0.25">
      <c r="A50" s="7" t="s">
        <v>435</v>
      </c>
      <c r="B50" s="7" t="s">
        <v>280</v>
      </c>
      <c r="C50" s="7" t="s">
        <v>269</v>
      </c>
      <c r="D50" s="7" t="s">
        <v>160</v>
      </c>
      <c r="E50" s="20" t="s">
        <v>431</v>
      </c>
      <c r="F50" s="64">
        <f>Inventory!$Q$14</f>
        <v>179347.82608695657</v>
      </c>
      <c r="G50" s="72">
        <v>1</v>
      </c>
      <c r="H50" s="49">
        <f>F50*G50</f>
        <v>179347.82608695657</v>
      </c>
      <c r="I50" s="26" t="s">
        <v>70</v>
      </c>
      <c r="J50" s="39">
        <v>21.517434791350016</v>
      </c>
      <c r="K50" s="17" t="s">
        <v>432</v>
      </c>
    </row>
    <row r="51" spans="1:11" x14ac:dyDescent="0.25">
      <c r="A51" s="7" t="s">
        <v>436</v>
      </c>
      <c r="B51" s="7" t="s">
        <v>282</v>
      </c>
      <c r="C51" s="7" t="s">
        <v>269</v>
      </c>
      <c r="D51" s="7" t="s">
        <v>160</v>
      </c>
      <c r="E51" s="20" t="s">
        <v>431</v>
      </c>
      <c r="F51" s="64">
        <f>Inventory!$Q$15</f>
        <v>64712.38938053097</v>
      </c>
      <c r="G51" s="72">
        <v>1</v>
      </c>
      <c r="H51" s="49">
        <f>F51*G51</f>
        <v>64712.38938053097</v>
      </c>
      <c r="I51" s="26" t="s">
        <v>70</v>
      </c>
      <c r="J51" s="39">
        <v>21.517434791350016</v>
      </c>
      <c r="K51" s="17" t="s">
        <v>432</v>
      </c>
    </row>
    <row r="52" spans="1:11" x14ac:dyDescent="0.25">
      <c r="A52" s="7" t="s">
        <v>437</v>
      </c>
      <c r="B52" s="7" t="s">
        <v>284</v>
      </c>
      <c r="C52" s="7" t="s">
        <v>285</v>
      </c>
      <c r="D52" s="7" t="s">
        <v>161</v>
      </c>
      <c r="E52" s="20" t="s">
        <v>431</v>
      </c>
      <c r="F52" s="64">
        <f>Inventory!$Q$16</f>
        <v>1989600</v>
      </c>
      <c r="G52" s="72">
        <v>1</v>
      </c>
      <c r="H52" s="49">
        <f>F52*G52</f>
        <v>1989600</v>
      </c>
      <c r="I52" s="26" t="s">
        <v>70</v>
      </c>
      <c r="J52" s="39">
        <v>20.31742766995271</v>
      </c>
      <c r="K52" s="17" t="s">
        <v>432</v>
      </c>
    </row>
    <row r="53" spans="1:11" x14ac:dyDescent="0.25">
      <c r="A53" s="7" t="s">
        <v>438</v>
      </c>
      <c r="B53" s="7" t="s">
        <v>290</v>
      </c>
      <c r="C53" s="7" t="s">
        <v>285</v>
      </c>
      <c r="D53" s="7" t="s">
        <v>160</v>
      </c>
      <c r="E53" s="20" t="s">
        <v>431</v>
      </c>
      <c r="F53" s="64">
        <f>Inventory!$Q$17</f>
        <v>180375</v>
      </c>
      <c r="G53" s="72">
        <v>1</v>
      </c>
      <c r="H53" s="49">
        <f>F53*G53</f>
        <v>180375</v>
      </c>
      <c r="I53" s="26" t="s">
        <v>70</v>
      </c>
      <c r="J53" s="39">
        <v>21.424285285628553</v>
      </c>
      <c r="K53" s="17" t="s">
        <v>432</v>
      </c>
    </row>
    <row r="54" spans="1:11" x14ac:dyDescent="0.25">
      <c r="A54" s="7" t="s">
        <v>439</v>
      </c>
      <c r="B54" s="7" t="s">
        <v>304</v>
      </c>
      <c r="C54" s="7" t="s">
        <v>305</v>
      </c>
      <c r="D54" s="7" t="s">
        <v>160</v>
      </c>
      <c r="E54" s="20" t="s">
        <v>431</v>
      </c>
      <c r="F54" s="64">
        <f>Inventory!$Q$21</f>
        <v>135200</v>
      </c>
      <c r="G54" s="72">
        <v>1</v>
      </c>
      <c r="H54" s="49">
        <f>F54*G54</f>
        <v>135200</v>
      </c>
      <c r="I54" s="26" t="s">
        <v>70</v>
      </c>
      <c r="J54" s="39">
        <v>15.588457268119896</v>
      </c>
      <c r="K54" s="17" t="s">
        <v>432</v>
      </c>
    </row>
    <row r="55" spans="1:11" x14ac:dyDescent="0.25">
      <c r="A55" s="7" t="s">
        <v>440</v>
      </c>
      <c r="B55" s="7" t="s">
        <v>309</v>
      </c>
      <c r="C55" s="7" t="s">
        <v>305</v>
      </c>
      <c r="D55" s="7" t="s">
        <v>160</v>
      </c>
      <c r="E55" s="20" t="s">
        <v>431</v>
      </c>
      <c r="F55" s="64">
        <f>Inventory!$Q$22</f>
        <v>98280</v>
      </c>
      <c r="G55" s="72">
        <v>1</v>
      </c>
      <c r="H55" s="49">
        <f>F55*G55</f>
        <v>98280</v>
      </c>
      <c r="I55" s="26" t="s">
        <v>70</v>
      </c>
      <c r="J55" s="39">
        <v>15.588457268119896</v>
      </c>
      <c r="K55" s="17" t="s">
        <v>432</v>
      </c>
    </row>
    <row r="56" spans="1:11" x14ac:dyDescent="0.25">
      <c r="A56" s="7" t="s">
        <v>441</v>
      </c>
      <c r="B56" s="7" t="s">
        <v>311</v>
      </c>
      <c r="C56" s="7" t="s">
        <v>305</v>
      </c>
      <c r="D56" s="7" t="s">
        <v>160</v>
      </c>
      <c r="E56" s="20" t="s">
        <v>431</v>
      </c>
      <c r="F56" s="64">
        <f>Inventory!$Q$23</f>
        <v>45552</v>
      </c>
      <c r="G56" s="72">
        <v>1</v>
      </c>
      <c r="H56" s="49">
        <f>F56*G56</f>
        <v>45552</v>
      </c>
      <c r="I56" s="26" t="s">
        <v>70</v>
      </c>
      <c r="J56" s="39">
        <v>15.588457268119896</v>
      </c>
      <c r="K56" s="17" t="s">
        <v>432</v>
      </c>
    </row>
    <row r="57" spans="1:11" x14ac:dyDescent="0.25">
      <c r="A57" s="7" t="s">
        <v>442</v>
      </c>
      <c r="B57" s="7" t="s">
        <v>313</v>
      </c>
      <c r="C57" s="7" t="s">
        <v>305</v>
      </c>
      <c r="D57" s="7" t="s">
        <v>160</v>
      </c>
      <c r="E57" s="20" t="s">
        <v>431</v>
      </c>
      <c r="F57" s="64">
        <f>Inventory!$Q$24</f>
        <v>20160</v>
      </c>
      <c r="G57" s="72">
        <v>1</v>
      </c>
      <c r="H57" s="49">
        <f>F57*G57</f>
        <v>20160</v>
      </c>
      <c r="I57" s="26" t="s">
        <v>70</v>
      </c>
      <c r="J57" s="39">
        <v>15.588457268119896</v>
      </c>
      <c r="K57" s="17" t="s">
        <v>432</v>
      </c>
    </row>
    <row r="58" spans="1:11" x14ac:dyDescent="0.25">
      <c r="A58" s="7" t="s">
        <v>443</v>
      </c>
      <c r="B58" s="7" t="s">
        <v>315</v>
      </c>
      <c r="C58" s="7" t="s">
        <v>305</v>
      </c>
      <c r="D58" s="7" t="s">
        <v>160</v>
      </c>
      <c r="E58" s="20" t="s">
        <v>431</v>
      </c>
      <c r="F58" s="64">
        <f>Inventory!$Q$25</f>
        <v>21168.000000000004</v>
      </c>
      <c r="G58" s="72">
        <v>1</v>
      </c>
      <c r="H58" s="49">
        <f>F58*G58</f>
        <v>21168.000000000004</v>
      </c>
      <c r="I58" s="26" t="s">
        <v>70</v>
      </c>
      <c r="J58" s="39">
        <v>15.588457268119896</v>
      </c>
      <c r="K58" s="17" t="s">
        <v>432</v>
      </c>
    </row>
    <row r="59" spans="1:11" x14ac:dyDescent="0.25">
      <c r="A59" s="7" t="s">
        <v>444</v>
      </c>
      <c r="B59" s="7" t="s">
        <v>317</v>
      </c>
      <c r="C59" s="7" t="s">
        <v>318</v>
      </c>
      <c r="D59" s="7" t="s">
        <v>160</v>
      </c>
      <c r="E59" s="20" t="s">
        <v>431</v>
      </c>
      <c r="F59" s="64">
        <f>Inventory!$Q$26</f>
        <v>70070.00000000001</v>
      </c>
      <c r="G59" s="72">
        <v>1</v>
      </c>
      <c r="H59" s="49">
        <f>F59*G59</f>
        <v>70070.00000000001</v>
      </c>
      <c r="I59" s="26" t="s">
        <v>70</v>
      </c>
      <c r="J59" s="39">
        <v>21.424285285628553</v>
      </c>
      <c r="K59" s="17" t="s">
        <v>432</v>
      </c>
    </row>
    <row r="60" spans="1:11" x14ac:dyDescent="0.25">
      <c r="A60" s="7" t="s">
        <v>445</v>
      </c>
      <c r="B60" s="7" t="s">
        <v>322</v>
      </c>
      <c r="C60" s="7" t="s">
        <v>318</v>
      </c>
      <c r="D60" s="7" t="s">
        <v>160</v>
      </c>
      <c r="E60" s="20" t="s">
        <v>431</v>
      </c>
      <c r="F60" s="64">
        <f>Inventory!$Q$27</f>
        <v>26280</v>
      </c>
      <c r="G60" s="72">
        <v>1</v>
      </c>
      <c r="H60" s="49">
        <f>F60*G60</f>
        <v>26280</v>
      </c>
      <c r="I60" s="26" t="s">
        <v>70</v>
      </c>
      <c r="J60" s="39">
        <v>15.588457268119896</v>
      </c>
      <c r="K60" s="17" t="s">
        <v>432</v>
      </c>
    </row>
    <row r="61" spans="1:11" x14ac:dyDescent="0.25">
      <c r="A61" s="7" t="s">
        <v>446</v>
      </c>
      <c r="B61" s="7" t="s">
        <v>326</v>
      </c>
      <c r="C61" s="7" t="s">
        <v>318</v>
      </c>
      <c r="D61" s="7" t="s">
        <v>160</v>
      </c>
      <c r="E61" s="20" t="s">
        <v>431</v>
      </c>
      <c r="F61" s="64">
        <f>Inventory!$Q$28</f>
        <v>24499.999999999996</v>
      </c>
      <c r="G61" s="72">
        <v>1</v>
      </c>
      <c r="H61" s="49">
        <f>F61*G61</f>
        <v>24499.999999999996</v>
      </c>
      <c r="I61" s="26" t="s">
        <v>70</v>
      </c>
      <c r="J61" s="39">
        <v>21.424285285628553</v>
      </c>
      <c r="K61" s="17" t="s">
        <v>432</v>
      </c>
    </row>
    <row r="62" spans="1:11" x14ac:dyDescent="0.25">
      <c r="A62" s="7" t="s">
        <v>447</v>
      </c>
      <c r="B62" s="7" t="s">
        <v>448</v>
      </c>
      <c r="C62" s="7" t="s">
        <v>399</v>
      </c>
      <c r="D62" s="7" t="s">
        <v>384</v>
      </c>
      <c r="E62" s="20" t="s">
        <v>424</v>
      </c>
      <c r="F62" s="71">
        <v>12911.19065153059</v>
      </c>
      <c r="G62" s="72">
        <v>1</v>
      </c>
      <c r="H62" s="49">
        <f>F62*G62</f>
        <v>12911.19065153059</v>
      </c>
      <c r="I62" s="27" t="s">
        <v>72</v>
      </c>
      <c r="J62" s="39">
        <v>50</v>
      </c>
      <c r="K62" s="17" t="s">
        <v>449</v>
      </c>
    </row>
    <row r="63" spans="1:11" x14ac:dyDescent="0.25">
      <c r="A63" s="7" t="s">
        <v>450</v>
      </c>
      <c r="B63" s="7" t="s">
        <v>292</v>
      </c>
      <c r="C63" s="7" t="s">
        <v>293</v>
      </c>
      <c r="D63" s="7" t="s">
        <v>294</v>
      </c>
      <c r="E63" s="20" t="s">
        <v>424</v>
      </c>
      <c r="F63" s="71">
        <v>467615.9367496277</v>
      </c>
      <c r="G63" s="72">
        <v>1</v>
      </c>
      <c r="H63" s="49">
        <f>F63*G63</f>
        <v>467615.9367496277</v>
      </c>
      <c r="I63" s="26" t="s">
        <v>70</v>
      </c>
      <c r="J63" s="39">
        <v>25.98076211353316</v>
      </c>
      <c r="K63" s="17" t="s">
        <v>449</v>
      </c>
    </row>
    <row r="64" spans="1:11" x14ac:dyDescent="0.25">
      <c r="A64" s="7" t="s">
        <v>451</v>
      </c>
      <c r="B64" s="7" t="s">
        <v>298</v>
      </c>
      <c r="C64" s="7" t="s">
        <v>299</v>
      </c>
      <c r="D64" s="7" t="s">
        <v>294</v>
      </c>
      <c r="E64" s="20" t="s">
        <v>424</v>
      </c>
      <c r="F64" s="71">
        <v>357206.6183504101</v>
      </c>
      <c r="G64" s="72">
        <v>1</v>
      </c>
      <c r="H64" s="49">
        <f>F64*G64</f>
        <v>357206.6183504101</v>
      </c>
      <c r="I64" s="26" t="s">
        <v>70</v>
      </c>
      <c r="J64" s="39">
        <v>25.98076211353316</v>
      </c>
      <c r="K64" s="17" t="s">
        <v>449</v>
      </c>
    </row>
    <row r="65" spans="1:11" x14ac:dyDescent="0.25">
      <c r="A65" s="7" t="s">
        <v>452</v>
      </c>
      <c r="B65" s="7" t="s">
        <v>301</v>
      </c>
      <c r="C65" s="7" t="s">
        <v>302</v>
      </c>
      <c r="D65" s="7" t="s">
        <v>294</v>
      </c>
      <c r="E65" s="20" t="s">
        <v>424</v>
      </c>
      <c r="F65" s="71">
        <v>250044.63284528704</v>
      </c>
      <c r="G65" s="72">
        <v>1</v>
      </c>
      <c r="H65" s="49">
        <f>F65*G65</f>
        <v>250044.63284528704</v>
      </c>
      <c r="I65" s="26" t="s">
        <v>70</v>
      </c>
      <c r="J65" s="39">
        <v>25.98076211353316</v>
      </c>
      <c r="K65" s="17" t="s">
        <v>449</v>
      </c>
    </row>
    <row r="66" spans="1:11" x14ac:dyDescent="0.25">
      <c r="A66" s="7" t="s">
        <v>453</v>
      </c>
      <c r="B66" s="7" t="s">
        <v>454</v>
      </c>
      <c r="C66" s="7" t="s">
        <v>404</v>
      </c>
      <c r="D66" s="7" t="s">
        <v>294</v>
      </c>
      <c r="E66" s="20" t="s">
        <v>424</v>
      </c>
      <c r="F66" s="71">
        <v>125401.365230746</v>
      </c>
      <c r="G66" s="72">
        <v>1</v>
      </c>
      <c r="H66" s="49">
        <f>F66*G66</f>
        <v>125401.365230746</v>
      </c>
      <c r="I66" s="27" t="s">
        <v>72</v>
      </c>
      <c r="J66" s="39">
        <v>64.03124237432849</v>
      </c>
      <c r="K66" s="17" t="s">
        <v>449</v>
      </c>
    </row>
    <row r="67" spans="1:11" x14ac:dyDescent="0.25">
      <c r="A67" s="7" t="s">
        <v>455</v>
      </c>
      <c r="B67" s="7" t="s">
        <v>456</v>
      </c>
      <c r="C67" s="7" t="s">
        <v>404</v>
      </c>
      <c r="D67" s="7" t="s">
        <v>294</v>
      </c>
      <c r="E67" s="20" t="s">
        <v>424</v>
      </c>
      <c r="F67" s="71">
        <v>53504.58249845164</v>
      </c>
      <c r="G67" s="72">
        <v>1</v>
      </c>
      <c r="H67" s="49">
        <f>F67*G67</f>
        <v>53504.58249845164</v>
      </c>
      <c r="I67" s="26" t="s">
        <v>70</v>
      </c>
      <c r="J67" s="39">
        <v>40</v>
      </c>
      <c r="K67" s="17" t="s">
        <v>449</v>
      </c>
    </row>
    <row r="68" spans="1:11" x14ac:dyDescent="0.25">
      <c r="A68" s="7" t="s">
        <v>457</v>
      </c>
      <c r="B68" s="7" t="s">
        <v>458</v>
      </c>
      <c r="C68" s="7" t="s">
        <v>406</v>
      </c>
      <c r="D68" s="7" t="s">
        <v>294</v>
      </c>
      <c r="E68" s="20" t="s">
        <v>424</v>
      </c>
      <c r="F68" s="71">
        <v>164285.06912479945</v>
      </c>
      <c r="G68" s="72">
        <v>1</v>
      </c>
      <c r="H68" s="49">
        <f>F68*G68</f>
        <v>164285.06912479945</v>
      </c>
      <c r="I68" s="26" t="s">
        <v>70</v>
      </c>
      <c r="J68" s="39">
        <v>29.154759474226502</v>
      </c>
      <c r="K68" s="17" t="s">
        <v>449</v>
      </c>
    </row>
    <row r="70" ht="18" customHeight="1" spans="1:11" x14ac:dyDescent="0.25">
      <c r="A70" s="5" t="s">
        <v>459</v>
      </c>
      <c r="B70" s="5"/>
      <c r="C70" s="5"/>
      <c r="D70" s="5"/>
      <c r="E70" s="5"/>
      <c r="F70" s="5"/>
      <c r="G70" s="5"/>
      <c r="H70" s="5"/>
      <c r="I70" s="5"/>
      <c r="J70" s="5"/>
      <c r="K70" s="5"/>
    </row>
    <row r="71" ht="30" customHeight="1" spans="1:11" x14ac:dyDescent="0.25">
      <c r="A71" s="15" t="s">
        <v>355</v>
      </c>
      <c r="B71" s="16" t="s">
        <v>154</v>
      </c>
      <c r="C71" s="16" t="s">
        <v>460</v>
      </c>
      <c r="D71" s="16" t="s">
        <v>37</v>
      </c>
      <c r="E71" s="16" t="s">
        <v>38</v>
      </c>
      <c r="F71" s="16" t="s">
        <v>159</v>
      </c>
      <c r="G71" s="16" t="s">
        <v>23</v>
      </c>
      <c r="H71" s="16" t="s">
        <v>461</v>
      </c>
      <c r="I71" s="16" t="s">
        <v>462</v>
      </c>
      <c r="J71" s="16" t="s">
        <v>463</v>
      </c>
      <c r="K71" s="16" t="s">
        <v>464</v>
      </c>
    </row>
    <row r="72" spans="1:11" x14ac:dyDescent="0.25">
      <c r="A72" s="7" t="s">
        <v>164</v>
      </c>
      <c r="B72" s="7" t="s">
        <v>465</v>
      </c>
      <c r="C72" s="7" t="s">
        <v>466</v>
      </c>
      <c r="D72" s="7" t="s">
        <v>51</v>
      </c>
      <c r="E72" s="20">
        <v>1</v>
      </c>
      <c r="F72" s="7" t="s">
        <v>160</v>
      </c>
      <c r="G72" s="20" t="s">
        <v>176</v>
      </c>
      <c r="J72" s="64">
        <f>Bills!$C$17</f>
        <v>2945004</v>
      </c>
      <c r="K72" s="51">
        <f>SUMIFS($F$19:$F$41,$B$19:$B$41,A72,$D$19:$D$41,F72)</f>
        <v>2945004</v>
      </c>
    </row>
    <row r="73" spans="1:11" x14ac:dyDescent="0.25">
      <c r="A73" s="7" t="s">
        <v>162</v>
      </c>
      <c r="B73" s="7" t="s">
        <v>349</v>
      </c>
      <c r="C73" s="7" t="s">
        <v>466</v>
      </c>
      <c r="D73" s="7" t="s">
        <v>155</v>
      </c>
      <c r="E73" s="20">
        <v>1</v>
      </c>
      <c r="F73" s="7" t="s">
        <v>162</v>
      </c>
      <c r="G73" s="20" t="s">
        <v>176</v>
      </c>
      <c r="J73" s="64">
        <f>Bills!$E$17</f>
        <v>65216.666666666664</v>
      </c>
      <c r="K73" s="51">
        <f>SUMIFS($F$19:$F$41,$B$19:$B$41,A73,$D$19:$D$41,F73)</f>
        <v>65216.666666666664</v>
      </c>
    </row>
    <row r="74" spans="1:11" x14ac:dyDescent="0.25">
      <c r="A74" s="7" t="s">
        <v>161</v>
      </c>
      <c r="B74" s="7" t="s">
        <v>350</v>
      </c>
      <c r="C74" s="7" t="s">
        <v>466</v>
      </c>
      <c r="D74" s="7" t="s">
        <v>155</v>
      </c>
      <c r="E74" s="20">
        <v>1</v>
      </c>
      <c r="F74" s="7" t="s">
        <v>161</v>
      </c>
      <c r="G74" s="20" t="s">
        <v>176</v>
      </c>
      <c r="J74" s="64">
        <f>Bills!$D$17</f>
        <v>3902263.1388888885</v>
      </c>
      <c r="K74" s="51">
        <f>SUMIFS($F$19:$F$41,$B$19:$B$41,A74,$D$19:$D$41,F74)</f>
        <v>3902263.138888888</v>
      </c>
    </row>
    <row r="75" spans="1:11" x14ac:dyDescent="0.25">
      <c r="A75" s="7" t="s">
        <v>363</v>
      </c>
      <c r="B75" s="7" t="s">
        <v>364</v>
      </c>
      <c r="C75" s="7" t="s">
        <v>467</v>
      </c>
      <c r="D75" s="7" t="s">
        <v>51</v>
      </c>
      <c r="E75" s="20">
        <v>1</v>
      </c>
      <c r="F75" s="7" t="s">
        <v>162</v>
      </c>
      <c r="G75" s="20" t="s">
        <v>468</v>
      </c>
      <c r="J75" s="51">
        <f>SUMIFS($F$19:$F$41,$C$19:$C$41,A75,$D$19:$D$41,F75)</f>
        <v>62941.17647058823</v>
      </c>
      <c r="K75" s="51">
        <f>SUMIFS($F$19:$F$41,$B$19:$B$41,A75,$D$19:$D$41,F75)</f>
        <v>0</v>
      </c>
    </row>
    <row r="76" spans="1:11" x14ac:dyDescent="0.25">
      <c r="A76" s="7" t="s">
        <v>363</v>
      </c>
      <c r="B76" s="7" t="s">
        <v>364</v>
      </c>
      <c r="C76" s="7" t="s">
        <v>467</v>
      </c>
      <c r="D76" s="7" t="s">
        <v>51</v>
      </c>
      <c r="E76" s="20">
        <v>1</v>
      </c>
      <c r="F76" s="7" t="s">
        <v>160</v>
      </c>
      <c r="G76" s="20" t="s">
        <v>468</v>
      </c>
      <c r="J76" s="51">
        <f>SUMIFS($F$19:$F$41,$C$19:$C$41,A76,$D$19:$D$41,F76)</f>
        <v>0</v>
      </c>
      <c r="K76" s="51">
        <f>SUMIFS($F$19:$F$41,$B$19:$B$41,A76,$D$19:$D$41,F76)</f>
        <v>21400</v>
      </c>
    </row>
    <row r="77" spans="1:11" x14ac:dyDescent="0.25">
      <c r="A77" s="7" t="s">
        <v>363</v>
      </c>
      <c r="B77" s="7" t="s">
        <v>364</v>
      </c>
      <c r="C77" s="7" t="s">
        <v>467</v>
      </c>
      <c r="D77" s="7" t="s">
        <v>51</v>
      </c>
      <c r="E77" s="20">
        <v>1</v>
      </c>
      <c r="F77" s="7" t="s">
        <v>384</v>
      </c>
      <c r="G77" s="20" t="s">
        <v>468</v>
      </c>
      <c r="J77" s="51">
        <f>SUMIFS($F$19:$F$41,$C$19:$C$41,A77,$D$19:$D$41,F77)</f>
        <v>0</v>
      </c>
      <c r="K77" s="51">
        <f>SUMIFS($F$19:$F$41,$B$19:$B$41,A77,$D$19:$D$41,F77)</f>
        <v>41541.17647058823</v>
      </c>
    </row>
    <row r="78" spans="1:11" x14ac:dyDescent="0.25">
      <c r="A78" s="7" t="s">
        <v>365</v>
      </c>
      <c r="B78" s="7" t="s">
        <v>469</v>
      </c>
      <c r="C78" s="7" t="s">
        <v>386</v>
      </c>
      <c r="D78" s="7" t="s">
        <v>51</v>
      </c>
      <c r="E78" s="20">
        <v>1</v>
      </c>
      <c r="F78" s="7" t="s">
        <v>384</v>
      </c>
      <c r="G78" s="20" t="s">
        <v>468</v>
      </c>
      <c r="H78" s="51">
        <f>SUMIFS($H$45:$H$68,$C$45:$C$68,A78,$D$45:$D$68,F78)</f>
        <v>0</v>
      </c>
      <c r="J78" s="51">
        <f>SUMIFS($F$19:$F$41,$C$19:$C$41,A78,$D$19:$D$41,F78)</f>
        <v>41541.17647058823</v>
      </c>
      <c r="K78" s="51">
        <f>SUMIFS($F$19:$F$41,$B$19:$B$41,A78,$D$19:$D$41,F78)</f>
        <v>0</v>
      </c>
    </row>
    <row r="79" spans="1:11" x14ac:dyDescent="0.25">
      <c r="A79" s="7" t="s">
        <v>347</v>
      </c>
      <c r="B79" s="7" t="s">
        <v>348</v>
      </c>
      <c r="C79" s="7" t="s">
        <v>470</v>
      </c>
      <c r="D79" s="7" t="s">
        <v>51</v>
      </c>
      <c r="E79" s="20">
        <v>1</v>
      </c>
      <c r="F79" s="7" t="s">
        <v>160</v>
      </c>
      <c r="G79" s="20" t="s">
        <v>468</v>
      </c>
      <c r="J79" s="51">
        <f>SUMIFS($F$19:$F$41,$C$19:$C$41,A79,$D$19:$D$41,F79)</f>
        <v>2966404</v>
      </c>
      <c r="K79" s="51">
        <f>SUMIFS($F$19:$F$41,$B$19:$B$41,A79,$D$19:$D$41,F79)</f>
        <v>2966404</v>
      </c>
    </row>
    <row r="80" spans="1:11" x14ac:dyDescent="0.25">
      <c r="A80" s="7" t="s">
        <v>249</v>
      </c>
      <c r="B80" s="7" t="s">
        <v>40</v>
      </c>
      <c r="C80" s="7" t="s">
        <v>471</v>
      </c>
      <c r="D80" s="7" t="s">
        <v>40</v>
      </c>
      <c r="E80" s="20">
        <v>2</v>
      </c>
      <c r="F80" s="7" t="s">
        <v>160</v>
      </c>
      <c r="G80" s="20" t="s">
        <v>424</v>
      </c>
      <c r="H80" s="51">
        <f>SUMIFS($H$45:$H$68,$C$45:$C$68,A80,$D$45:$D$68,F80)</f>
        <v>523716.15692307695</v>
      </c>
      <c r="I80" s="64">
        <f>SUMIFS(Inventory!$Q$6:$Q$28,Inventory!$D$6:$D$28,A80,Inventory!$E$6:$E$28,F80)</f>
        <v>641232</v>
      </c>
      <c r="J80" s="51">
        <f>SUMIFS($F$19:$F$41,$C$19:$C$41,A80,$D$19:$D$41,F80)</f>
        <v>523716.15692307695</v>
      </c>
      <c r="K80" s="51">
        <f>SUMIFS($F$19:$F$41,$B$19:$B$41,A80,$D$19:$D$41,F80)</f>
        <v>0</v>
      </c>
    </row>
    <row r="81" spans="1:11" x14ac:dyDescent="0.25">
      <c r="A81" s="7" t="s">
        <v>256</v>
      </c>
      <c r="B81" s="7" t="s">
        <v>472</v>
      </c>
      <c r="C81" s="7" t="s">
        <v>471</v>
      </c>
      <c r="D81" s="7" t="s">
        <v>43</v>
      </c>
      <c r="E81" s="20">
        <v>3</v>
      </c>
      <c r="F81" s="7" t="s">
        <v>160</v>
      </c>
      <c r="G81" s="20" t="s">
        <v>428</v>
      </c>
      <c r="H81" s="51">
        <f>SUMIFS($H$45:$H$68,$C$45:$C$68,A81,$D$45:$D$68,F81)</f>
        <v>857746.8714285712</v>
      </c>
      <c r="I81" s="64">
        <f>SUMIFS(Inventory!$Q$6:$Q$28,Inventory!$D$6:$D$28,A81,Inventory!$E$6:$E$28,F81)</f>
        <v>905934</v>
      </c>
      <c r="J81" s="51">
        <f>SUMIFS($F$19:$F$41,$C$19:$C$41,A81,$D$19:$D$41,F81)</f>
        <v>857746.8714285712</v>
      </c>
      <c r="K81" s="51">
        <f>SUMIFS($F$19:$F$41,$B$19:$B$41,A81,$D$19:$D$41,F81)</f>
        <v>0</v>
      </c>
    </row>
    <row r="82" spans="1:11" x14ac:dyDescent="0.25">
      <c r="A82" s="7" t="s">
        <v>269</v>
      </c>
      <c r="B82" s="7" t="s">
        <v>47</v>
      </c>
      <c r="C82" s="7" t="s">
        <v>471</v>
      </c>
      <c r="D82" s="7" t="s">
        <v>47</v>
      </c>
      <c r="E82" s="20">
        <v>2</v>
      </c>
      <c r="F82" s="7" t="s">
        <v>160</v>
      </c>
      <c r="G82" s="20" t="s">
        <v>431</v>
      </c>
      <c r="H82" s="51">
        <f>SUMIFS($H$45:$H$68,$C$45:$C$68,A82,$D$45:$D$68,F82)</f>
        <v>768727.5237118183</v>
      </c>
      <c r="I82" s="64">
        <f>SUMIFS(Inventory!$Q$6:$Q$28,Inventory!$D$6:$D$28,A82,Inventory!$E$6:$E$28,F82)</f>
        <v>768727.5237118183</v>
      </c>
      <c r="J82" s="51">
        <f>SUMIFS($F$19:$F$41,$C$19:$C$41,A82,$D$19:$D$41,F82)</f>
        <v>768727.5237118183</v>
      </c>
      <c r="K82" s="51">
        <f>SUMIFS($F$19:$F$41,$B$19:$B$41,A82,$D$19:$D$41,F82)</f>
        <v>0</v>
      </c>
    </row>
    <row r="83" spans="1:11" x14ac:dyDescent="0.25">
      <c r="A83" s="7" t="s">
        <v>285</v>
      </c>
      <c r="B83" s="7" t="s">
        <v>473</v>
      </c>
      <c r="C83" s="7" t="s">
        <v>471</v>
      </c>
      <c r="D83" s="7" t="s">
        <v>48</v>
      </c>
      <c r="E83" s="20">
        <v>2</v>
      </c>
      <c r="F83" s="7" t="s">
        <v>160</v>
      </c>
      <c r="G83" s="20" t="s">
        <v>431</v>
      </c>
      <c r="H83" s="51">
        <f>SUMIFS($H$45:$H$68,$C$45:$C$68,A83,$D$45:$D$68,F83)</f>
        <v>180375</v>
      </c>
      <c r="I83" s="64">
        <f>SUMIFS(Inventory!$Q$6:$Q$28,Inventory!$D$6:$D$28,A83,Inventory!$E$6:$E$28,F83)</f>
        <v>180375</v>
      </c>
      <c r="J83" s="51">
        <f>SUMIFS($F$19:$F$41,$C$19:$C$41,A83,$D$19:$D$41,F83)</f>
        <v>180375</v>
      </c>
      <c r="K83" s="51">
        <f>SUMIFS($F$19:$F$41,$B$19:$B$41,A83,$D$19:$D$41,F83)</f>
        <v>0</v>
      </c>
    </row>
    <row r="84" spans="1:11" x14ac:dyDescent="0.25">
      <c r="A84" s="7" t="s">
        <v>285</v>
      </c>
      <c r="B84" s="7" t="s">
        <v>473</v>
      </c>
      <c r="C84" s="7" t="s">
        <v>471</v>
      </c>
      <c r="D84" s="7" t="s">
        <v>48</v>
      </c>
      <c r="E84" s="20">
        <v>2</v>
      </c>
      <c r="F84" s="7" t="s">
        <v>161</v>
      </c>
      <c r="G84" s="20" t="s">
        <v>431</v>
      </c>
      <c r="H84" s="51">
        <f>SUMIFS($H$45:$H$68,$C$45:$C$68,A84,$D$45:$D$68,F84)</f>
        <v>1989600</v>
      </c>
      <c r="I84" s="64">
        <f>SUMIFS(Inventory!$Q$6:$Q$28,Inventory!$D$6:$D$28,A84,Inventory!$E$6:$E$28,F84)</f>
        <v>1989600</v>
      </c>
      <c r="J84" s="51">
        <f>SUMIFS($F$19:$F$41,$C$19:$C$41,A84,$D$19:$D$41,F84)</f>
        <v>1989600</v>
      </c>
      <c r="K84" s="51">
        <f>SUMIFS($F$19:$F$41,$B$19:$B$41,A84,$D$19:$D$41,F84)</f>
        <v>0</v>
      </c>
    </row>
    <row r="85" spans="1:11" x14ac:dyDescent="0.25">
      <c r="A85" s="7" t="s">
        <v>305</v>
      </c>
      <c r="B85" s="7" t="s">
        <v>49</v>
      </c>
      <c r="C85" s="7" t="s">
        <v>471</v>
      </c>
      <c r="D85" s="7" t="s">
        <v>49</v>
      </c>
      <c r="E85" s="20">
        <v>2</v>
      </c>
      <c r="F85" s="7" t="s">
        <v>160</v>
      </c>
      <c r="G85" s="20" t="s">
        <v>431</v>
      </c>
      <c r="H85" s="51">
        <f>SUMIFS($H$45:$H$68,$C$45:$C$68,A85,$D$45:$D$68,F85)</f>
        <v>320360</v>
      </c>
      <c r="I85" s="64">
        <f>SUMIFS(Inventory!$Q$6:$Q$28,Inventory!$D$6:$D$28,A85,Inventory!$E$6:$E$28,F85)</f>
        <v>320360</v>
      </c>
      <c r="J85" s="51">
        <f>SUMIFS($F$19:$F$41,$C$19:$C$41,A85,$D$19:$D$41,F85)</f>
        <v>320360</v>
      </c>
      <c r="K85" s="51">
        <f>SUMIFS($F$19:$F$41,$B$19:$B$41,A85,$D$19:$D$41,F85)</f>
        <v>0</v>
      </c>
    </row>
    <row r="86" spans="1:11" x14ac:dyDescent="0.25">
      <c r="A86" s="7" t="s">
        <v>318</v>
      </c>
      <c r="B86" s="7" t="s">
        <v>50</v>
      </c>
      <c r="C86" s="7" t="s">
        <v>471</v>
      </c>
      <c r="D86" s="7" t="s">
        <v>50</v>
      </c>
      <c r="E86" s="20">
        <v>2</v>
      </c>
      <c r="F86" s="7" t="s">
        <v>160</v>
      </c>
      <c r="G86" s="20" t="s">
        <v>431</v>
      </c>
      <c r="H86" s="51">
        <f>SUMIFS($H$45:$H$68,$C$45:$C$68,A86,$D$45:$D$68,F86)</f>
        <v>120850.00000000001</v>
      </c>
      <c r="I86" s="64">
        <f>SUMIFS(Inventory!$Q$6:$Q$28,Inventory!$D$6:$D$28,A86,Inventory!$E$6:$E$28,F86)</f>
        <v>120850.00000000001</v>
      </c>
      <c r="J86" s="51">
        <f>SUMIFS($F$19:$F$41,$C$19:$C$41,A86,$D$19:$D$41,F86)</f>
        <v>120850.00000000001</v>
      </c>
      <c r="K86" s="51">
        <f>SUMIFS($F$19:$F$41,$B$19:$B$41,A86,$D$19:$D$41,F86)</f>
        <v>0</v>
      </c>
    </row>
    <row r="87" spans="1:11" x14ac:dyDescent="0.25">
      <c r="A87" s="7" t="s">
        <v>366</v>
      </c>
      <c r="B87" s="7" t="s">
        <v>367</v>
      </c>
      <c r="C87" s="7" t="s">
        <v>467</v>
      </c>
      <c r="D87" s="7" t="s">
        <v>46</v>
      </c>
      <c r="E87" s="20">
        <v>2</v>
      </c>
      <c r="F87" s="7" t="s">
        <v>161</v>
      </c>
      <c r="G87" s="20" t="s">
        <v>468</v>
      </c>
      <c r="J87" s="51">
        <f>SUMIFS($F$19:$F$41,$C$19:$C$41,A87,$D$19:$D$41,F87)</f>
        <v>1788711.7443135653</v>
      </c>
      <c r="K87" s="51">
        <f>SUMIFS($F$19:$F$41,$B$19:$B$41,A87,$D$19:$D$41,F87)</f>
        <v>0</v>
      </c>
    </row>
    <row r="88" spans="1:11" x14ac:dyDescent="0.25">
      <c r="A88" s="7" t="s">
        <v>366</v>
      </c>
      <c r="B88" s="7" t="s">
        <v>367</v>
      </c>
      <c r="C88" s="7" t="s">
        <v>467</v>
      </c>
      <c r="D88" s="7" t="s">
        <v>46</v>
      </c>
      <c r="E88" s="20">
        <v>2</v>
      </c>
      <c r="F88" s="7" t="s">
        <v>294</v>
      </c>
      <c r="G88" s="20" t="s">
        <v>468</v>
      </c>
      <c r="J88" s="51">
        <f>SUMIFS($F$19:$F$41,$C$19:$C$41,A88,$D$19:$D$41,F88)</f>
        <v>0</v>
      </c>
      <c r="K88" s="51">
        <f>SUMIFS($F$19:$F$41,$B$19:$B$41,A88,$D$19:$D$41,F88)</f>
        <v>1418058.2047993217</v>
      </c>
    </row>
    <row r="89" spans="1:11" x14ac:dyDescent="0.25">
      <c r="A89" s="7" t="s">
        <v>366</v>
      </c>
      <c r="B89" s="7" t="s">
        <v>367</v>
      </c>
      <c r="C89" s="7" t="s">
        <v>467</v>
      </c>
      <c r="D89" s="7" t="s">
        <v>46</v>
      </c>
      <c r="E89" s="20">
        <v>2</v>
      </c>
      <c r="F89" s="7" t="s">
        <v>384</v>
      </c>
      <c r="G89" s="20" t="s">
        <v>468</v>
      </c>
      <c r="J89" s="51">
        <f>SUMIFS($F$19:$F$41,$C$19:$C$41,A89,$D$19:$D$41,F89)</f>
        <v>0</v>
      </c>
      <c r="K89" s="51">
        <f>SUMIFS($F$19:$F$41,$B$19:$B$41,A89,$D$19:$D$41,F89)</f>
        <v>370653.53951424354</v>
      </c>
    </row>
    <row r="90" spans="1:11" x14ac:dyDescent="0.25">
      <c r="A90" s="7" t="s">
        <v>368</v>
      </c>
      <c r="B90" s="7" t="s">
        <v>474</v>
      </c>
      <c r="C90" s="7" t="s">
        <v>386</v>
      </c>
      <c r="D90" s="7" t="s">
        <v>46</v>
      </c>
      <c r="E90" s="20">
        <v>2</v>
      </c>
      <c r="F90" s="7" t="s">
        <v>384</v>
      </c>
      <c r="G90" s="20" t="s">
        <v>468</v>
      </c>
      <c r="H90" s="51">
        <f>SUMIFS($H$45:$H$68,$C$45:$C$68,A90,$D$45:$D$68,F90)</f>
        <v>0</v>
      </c>
      <c r="J90" s="51">
        <f>SUMIFS($F$19:$F$41,$C$19:$C$41,A90,$D$19:$D$41,F90)</f>
        <v>357742.34886271297</v>
      </c>
      <c r="K90" s="51">
        <f>SUMIFS($F$19:$F$41,$B$19:$B$41,A90,$D$19:$D$41,F90)</f>
        <v>0</v>
      </c>
    </row>
    <row r="91" spans="1:11" x14ac:dyDescent="0.25">
      <c r="A91" s="7" t="s">
        <v>399</v>
      </c>
      <c r="B91" s="7" t="s">
        <v>475</v>
      </c>
      <c r="C91" s="7" t="s">
        <v>386</v>
      </c>
      <c r="D91" s="7" t="s">
        <v>46</v>
      </c>
      <c r="E91" s="20">
        <v>2</v>
      </c>
      <c r="F91" s="7" t="s">
        <v>384</v>
      </c>
      <c r="G91" s="20" t="s">
        <v>424</v>
      </c>
      <c r="H91" s="51">
        <f>SUMIFS($H$45:$H$68,$C$45:$C$68,A91,$D$45:$D$68,F91)</f>
        <v>12911.19065153059</v>
      </c>
      <c r="J91" s="51">
        <f>SUMIFS($F$19:$F$41,$C$19:$C$41,A91,$D$19:$D$41,F91)</f>
        <v>12911.19065153059</v>
      </c>
      <c r="K91" s="51">
        <f>SUMIFS($F$19:$F$41,$B$19:$B$41,A91,$D$19:$D$41,F91)</f>
        <v>0</v>
      </c>
    </row>
    <row r="92" spans="1:11" x14ac:dyDescent="0.25">
      <c r="A92" s="7" t="s">
        <v>396</v>
      </c>
      <c r="B92" s="7" t="s">
        <v>476</v>
      </c>
      <c r="C92" s="7" t="s">
        <v>470</v>
      </c>
      <c r="D92" s="7" t="s">
        <v>46</v>
      </c>
      <c r="E92" s="20">
        <v>2</v>
      </c>
      <c r="F92" s="7" t="s">
        <v>294</v>
      </c>
      <c r="G92" s="20" t="s">
        <v>468</v>
      </c>
      <c r="J92" s="51">
        <f>SUMIFS($F$19:$F$41,$C$19:$C$41,A92,$D$19:$D$41,F92)</f>
        <v>1418058.2047993217</v>
      </c>
      <c r="K92" s="51">
        <f>SUMIFS($F$19:$F$41,$B$19:$B$41,A92,$D$19:$D$41,F92)</f>
        <v>1418058.2047993217</v>
      </c>
    </row>
    <row r="93" spans="1:11" x14ac:dyDescent="0.25">
      <c r="A93" s="7" t="s">
        <v>293</v>
      </c>
      <c r="B93" s="7" t="s">
        <v>477</v>
      </c>
      <c r="C93" s="7" t="s">
        <v>471</v>
      </c>
      <c r="D93" s="7" t="s">
        <v>46</v>
      </c>
      <c r="E93" s="20">
        <v>2</v>
      </c>
      <c r="F93" s="7" t="s">
        <v>294</v>
      </c>
      <c r="G93" s="20" t="s">
        <v>424</v>
      </c>
      <c r="H93" s="51">
        <f>SUMIFS($H$45:$H$68,$C$45:$C$68,A93,$D$45:$D$68,F93)</f>
        <v>467615.9367496277</v>
      </c>
      <c r="I93" s="64">
        <f>SUMIFS(Inventory!$Q$6:$Q$28,Inventory!$D$6:$D$28,A93,Inventory!$E$6:$E$28,F93)</f>
        <v>468000</v>
      </c>
      <c r="J93" s="51">
        <f>SUMIFS($F$19:$F$41,$C$19:$C$41,A93,$D$19:$D$41,F93)</f>
        <v>467615.9367496277</v>
      </c>
      <c r="K93" s="51">
        <f>SUMIFS($F$19:$F$41,$B$19:$B$41,A93,$D$19:$D$41,F93)</f>
        <v>0</v>
      </c>
    </row>
    <row r="94" spans="1:11" x14ac:dyDescent="0.25">
      <c r="A94" s="7" t="s">
        <v>299</v>
      </c>
      <c r="B94" s="7" t="s">
        <v>478</v>
      </c>
      <c r="C94" s="7" t="s">
        <v>471</v>
      </c>
      <c r="D94" s="7" t="s">
        <v>46</v>
      </c>
      <c r="E94" s="20">
        <v>2</v>
      </c>
      <c r="F94" s="7" t="s">
        <v>294</v>
      </c>
      <c r="G94" s="20" t="s">
        <v>424</v>
      </c>
      <c r="H94" s="51">
        <f>SUMIFS($H$45:$H$68,$C$45:$C$68,A94,$D$45:$D$68,F94)</f>
        <v>357206.6183504101</v>
      </c>
      <c r="I94" s="64">
        <f>SUMIFS(Inventory!$Q$6:$Q$28,Inventory!$D$6:$D$28,A94,Inventory!$E$6:$E$28,F94)</f>
        <v>357750</v>
      </c>
      <c r="J94" s="51">
        <f>SUMIFS($F$19:$F$41,$C$19:$C$41,A94,$D$19:$D$41,F94)</f>
        <v>357206.6183504101</v>
      </c>
      <c r="K94" s="51">
        <f>SUMIFS($F$19:$F$41,$B$19:$B$41,A94,$D$19:$D$41,F94)</f>
        <v>0</v>
      </c>
    </row>
    <row r="95" spans="1:11" x14ac:dyDescent="0.25">
      <c r="A95" s="7" t="s">
        <v>302</v>
      </c>
      <c r="B95" s="7" t="s">
        <v>479</v>
      </c>
      <c r="C95" s="7" t="s">
        <v>471</v>
      </c>
      <c r="D95" s="7" t="s">
        <v>46</v>
      </c>
      <c r="E95" s="20">
        <v>2</v>
      </c>
      <c r="F95" s="7" t="s">
        <v>294</v>
      </c>
      <c r="G95" s="20" t="s">
        <v>424</v>
      </c>
      <c r="H95" s="51">
        <f>SUMIFS($H$45:$H$68,$C$45:$C$68,A95,$D$45:$D$68,F95)</f>
        <v>250044.63284528704</v>
      </c>
      <c r="I95" s="64">
        <f>SUMIFS(Inventory!$Q$6:$Q$28,Inventory!$D$6:$D$28,A95,Inventory!$E$6:$E$28,F95)</f>
        <v>249975</v>
      </c>
      <c r="J95" s="51">
        <f>SUMIFS($F$19:$F$41,$C$19:$C$41,A95,$D$19:$D$41,F95)</f>
        <v>250044.63284528704</v>
      </c>
      <c r="K95" s="51">
        <f>SUMIFS($F$19:$F$41,$B$19:$B$41,A95,$D$19:$D$41,F95)</f>
        <v>0</v>
      </c>
    </row>
    <row r="96" spans="1:11" x14ac:dyDescent="0.25">
      <c r="A96" s="7" t="s">
        <v>404</v>
      </c>
      <c r="B96" s="7" t="s">
        <v>480</v>
      </c>
      <c r="C96" s="7" t="s">
        <v>386</v>
      </c>
      <c r="D96" s="7" t="s">
        <v>46</v>
      </c>
      <c r="E96" s="20">
        <v>2</v>
      </c>
      <c r="F96" s="7" t="s">
        <v>294</v>
      </c>
      <c r="G96" s="20" t="s">
        <v>424</v>
      </c>
      <c r="H96" s="51">
        <f>SUMIFS($H$45:$H$68,$C$45:$C$68,A96,$D$45:$D$68,F96)</f>
        <v>178905.94772919762</v>
      </c>
      <c r="J96" s="51">
        <f>SUMIFS($F$19:$F$41,$C$19:$C$41,A96,$D$19:$D$41,F96)</f>
        <v>178905.94772919762</v>
      </c>
      <c r="K96" s="51">
        <f>SUMIFS($F$19:$F$41,$B$19:$B$41,A96,$D$19:$D$41,F96)</f>
        <v>0</v>
      </c>
    </row>
    <row r="97" spans="1:11" x14ac:dyDescent="0.25">
      <c r="A97" s="7" t="s">
        <v>406</v>
      </c>
      <c r="B97" s="7" t="s">
        <v>481</v>
      </c>
      <c r="C97" s="7" t="s">
        <v>386</v>
      </c>
      <c r="D97" s="7" t="s">
        <v>46</v>
      </c>
      <c r="E97" s="20">
        <v>2</v>
      </c>
      <c r="F97" s="7" t="s">
        <v>294</v>
      </c>
      <c r="G97" s="20" t="s">
        <v>424</v>
      </c>
      <c r="H97" s="51">
        <f>SUMIFS($H$45:$H$68,$C$45:$C$68,A97,$D$45:$D$68,F97)</f>
        <v>164285.06912479945</v>
      </c>
      <c r="J97" s="51">
        <f>SUMIFS($F$19:$F$41,$C$19:$C$41,A97,$D$19:$D$41,F97)</f>
        <v>164285.06912479945</v>
      </c>
      <c r="K97" s="51">
        <f>SUMIFS($F$19:$F$41,$B$19:$B$41,A97,$D$19:$D$41,F97)</f>
        <v>0</v>
      </c>
    </row>
    <row r="98" spans="1:11" x14ac:dyDescent="0.25">
      <c r="A98" s="7" t="s">
        <v>408</v>
      </c>
      <c r="B98" s="7" t="s">
        <v>482</v>
      </c>
      <c r="C98" s="7" t="s">
        <v>410</v>
      </c>
      <c r="D98" s="7" t="s">
        <v>155</v>
      </c>
      <c r="E98" s="20">
        <v>2</v>
      </c>
      <c r="F98" s="7" t="s">
        <v>160</v>
      </c>
      <c r="G98" s="20" t="s">
        <v>468</v>
      </c>
      <c r="H98" s="51">
        <f>SUMIFS($H$45:$H$68,$C$45:$C$68,A98,$D$45:$D$68,F98)</f>
        <v>0</v>
      </c>
      <c r="J98" s="51">
        <f>SUMIFS($F$19:$F$41,$C$19:$C$41,A98,$D$19:$D$41,F98)</f>
        <v>194628.44793653348</v>
      </c>
      <c r="K98" s="51">
        <f>SUMIFS($F$19:$F$41,$B$19:$B$41,A98,$D$19:$D$41,F98)</f>
        <v>0</v>
      </c>
    </row>
    <row r="99" spans="1:11" x14ac:dyDescent="0.25">
      <c r="A99" s="7" t="s">
        <v>412</v>
      </c>
      <c r="B99" s="7" t="s">
        <v>483</v>
      </c>
      <c r="C99" s="7" t="s">
        <v>410</v>
      </c>
      <c r="D99" s="7" t="s">
        <v>155</v>
      </c>
      <c r="E99" s="20">
        <v>1</v>
      </c>
      <c r="F99" s="7" t="s">
        <v>162</v>
      </c>
      <c r="G99" s="20" t="s">
        <v>468</v>
      </c>
      <c r="H99" s="51">
        <f>SUMIFS($H$45:$H$68,$C$45:$C$68,A99,$D$45:$D$68,F99)</f>
        <v>0</v>
      </c>
      <c r="J99" s="51">
        <f>SUMIFS($F$19:$F$41,$C$19:$C$41,A99,$D$19:$D$41,F99)</f>
        <v>2275.4901960784337</v>
      </c>
      <c r="K99" s="51">
        <f>SUMIFS($F$19:$F$41,$B$19:$B$41,A99,$D$19:$D$41,F99)</f>
        <v>0</v>
      </c>
    </row>
    <row r="100" spans="1:11" x14ac:dyDescent="0.25">
      <c r="A100" s="7" t="s">
        <v>414</v>
      </c>
      <c r="B100" s="7" t="s">
        <v>484</v>
      </c>
      <c r="C100" s="7" t="s">
        <v>410</v>
      </c>
      <c r="D100" s="7" t="s">
        <v>155</v>
      </c>
      <c r="E100" s="20">
        <v>2</v>
      </c>
      <c r="F100" s="7" t="s">
        <v>161</v>
      </c>
      <c r="G100" s="20" t="s">
        <v>468</v>
      </c>
      <c r="H100" s="51">
        <f>SUMIFS($H$45:$H$68,$C$45:$C$68,A100,$D$45:$D$68,F100)</f>
        <v>0</v>
      </c>
      <c r="J100" s="51">
        <f>SUMIFS($F$19:$F$41,$C$19:$C$41,A100,$D$19:$D$41,F100)</f>
        <v>123951.39457532298</v>
      </c>
      <c r="K100" s="51">
        <f>SUMIFS($F$19:$F$41,$B$19:$B$41,A100,$D$19:$D$41,F100)</f>
        <v>0</v>
      </c>
    </row>
  </sheetData>
  <conditionalFormatting sqref="J7:J9">
    <cfRule type="expression" dxfId="2" priority="1">
      <formula>LEFT(J7,6)="Within"</formula>
    </cfRule>
    <cfRule type="expression" dxfId="3" priority="2">
      <formula>AND(J7&lt;&gt;"",LEFT(J7,6)&lt;&gt;"Within")</formula>
    </cfRule>
  </conditionalFormatting>
  <pageMargins left="0.45" right="0.45" top="0.7" bottom="0.6" header="0.3" footer="0.3"/>
  <pageSetup paperSize="9" orientation="landscape" horizontalDpi="4294967295" verticalDpi="4294967295" scale="100" fitToWidth="1" fitToHeight="0"/>
  <headerFooter>
    <oddHeader>&amp;L&amp;"Arial"&amp;8Advanced Energy Audit · Demo Foods (Pty) Ltd (fictional)&amp;R&amp;"Arial"&amp;8&amp;A</oddHeader>
    <oddFooter>&amp;L&amp;"Arial"&amp;8Thabiso Kali, Certified Energy Manager · Fictional demonstration&amp;R&amp;"Arial"&amp;8Page &amp;P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7841A"/>
    <pageSetUpPr fitToPage="1"/>
  </sheetPr>
  <dimension ref="A1:AB56"/>
  <sheetViews>
    <sheetView workbookViewId="0" showGridLines="0">
      <pane xSplit="2" ySplit="5" topLeftCell="C6" activePane="bottomRight" state="frozen"/>
      <selection pane="bottomRight"/>
    </sheetView>
  </sheetViews>
  <sheetFormatPr defaultRowHeight="15" outlineLevelRow="0" outlineLevelCol="0" x14ac:dyDescent="55"/>
  <cols>
    <col min="1" max="1" width="5" customWidth="1"/>
    <col min="2" max="2" width="40" customWidth="1"/>
    <col min="3" max="4" width="22" customWidth="1"/>
    <col min="5" max="5" width="18" customWidth="1"/>
    <col min="6" max="6" width="22" customWidth="1"/>
    <col min="7" max="9" width="14" customWidth="1"/>
    <col min="10" max="10" width="15" customWidth="1"/>
    <col min="11" max="12" width="11" customWidth="1"/>
    <col min="13" max="13" width="15" customWidth="1"/>
    <col min="14" max="15" width="14" customWidth="1"/>
    <col min="16" max="16" width="13" customWidth="1"/>
    <col min="17" max="17" width="15" customWidth="1"/>
    <col min="18" max="19" width="11" customWidth="1"/>
    <col min="20" max="20" width="14" customWidth="1"/>
    <col min="21" max="21" width="11" customWidth="1"/>
    <col min="22" max="22" width="14" customWidth="1"/>
    <col min="23" max="23" width="11" customWidth="1"/>
    <col min="25" max="25" width="11" customWidth="1"/>
    <col min="26" max="26" width="10" customWidth="1"/>
    <col min="27" max="27" width="11" customWidth="1"/>
    <col min="28" max="28" width="30" customWidth="1"/>
  </cols>
  <sheetData>
    <row r="1" ht="26" customHeight="1" spans="1:1" x14ac:dyDescent="0.25">
      <c r="A1" s="31" t="s">
        <v>26</v>
      </c>
    </row>
    <row r="2" spans="1:1" x14ac:dyDescent="0.25">
      <c r="A2" s="32" t="s">
        <v>485</v>
      </c>
    </row>
    <row r="3" spans="1:1" x14ac:dyDescent="0.25">
      <c r="A3" s="33" t="s">
        <v>91</v>
      </c>
    </row>
    <row r="5" ht="44" customHeight="1" spans="1:28" x14ac:dyDescent="0.25">
      <c r="A5" s="15" t="s">
        <v>486</v>
      </c>
      <c r="B5" s="16" t="s">
        <v>487</v>
      </c>
      <c r="C5" s="16" t="s">
        <v>488</v>
      </c>
      <c r="D5" s="16" t="s">
        <v>37</v>
      </c>
      <c r="E5" s="16" t="s">
        <v>489</v>
      </c>
      <c r="F5" s="16" t="s">
        <v>490</v>
      </c>
      <c r="G5" s="16" t="s">
        <v>491</v>
      </c>
      <c r="H5" s="16" t="s">
        <v>492</v>
      </c>
      <c r="I5" s="16" t="s">
        <v>493</v>
      </c>
      <c r="J5" s="16" t="s">
        <v>494</v>
      </c>
      <c r="K5" s="16" t="s">
        <v>495</v>
      </c>
      <c r="L5" s="16" t="s">
        <v>496</v>
      </c>
      <c r="M5" s="16" t="s">
        <v>497</v>
      </c>
      <c r="N5" s="16" t="s">
        <v>498</v>
      </c>
      <c r="O5" s="16" t="s">
        <v>499</v>
      </c>
      <c r="P5" s="16" t="s">
        <v>500</v>
      </c>
      <c r="Q5" s="16" t="s">
        <v>501</v>
      </c>
      <c r="R5" s="16" t="s">
        <v>502</v>
      </c>
      <c r="S5" s="16" t="s">
        <v>503</v>
      </c>
      <c r="T5" s="16" t="s">
        <v>504</v>
      </c>
      <c r="U5" s="16" t="s">
        <v>505</v>
      </c>
      <c r="V5" s="16" t="s">
        <v>506</v>
      </c>
      <c r="W5" s="16" t="s">
        <v>507</v>
      </c>
      <c r="X5" s="16" t="s">
        <v>508</v>
      </c>
      <c r="Y5" s="16" t="s">
        <v>509</v>
      </c>
      <c r="Z5" s="16" t="s">
        <v>510</v>
      </c>
      <c r="AA5" s="16" t="s">
        <v>511</v>
      </c>
      <c r="AB5" s="16" t="s">
        <v>512</v>
      </c>
    </row>
    <row r="6" spans="1:28" x14ac:dyDescent="0.25">
      <c r="A6" s="73">
        <v>1</v>
      </c>
      <c r="B6" s="6" t="s">
        <v>513</v>
      </c>
      <c r="C6" s="7" t="s">
        <v>514</v>
      </c>
      <c r="D6" s="7" t="s">
        <v>40</v>
      </c>
      <c r="E6" s="7" t="s">
        <v>515</v>
      </c>
      <c r="F6" s="7" t="s">
        <v>516</v>
      </c>
      <c r="G6" s="7" t="s">
        <v>517</v>
      </c>
      <c r="H6" s="70">
        <v>73358.33723076928</v>
      </c>
      <c r="I6" s="70">
        <v>0</v>
      </c>
      <c r="J6" s="49">
        <f>SUM(H6:I6)</f>
        <v>73358.33723076928</v>
      </c>
      <c r="K6" s="26" t="s">
        <v>70</v>
      </c>
      <c r="L6" s="74">
        <v>0</v>
      </c>
      <c r="M6" s="50">
        <f>H6*EnergyRate_Electricity</f>
        <v>109789.32135274335</v>
      </c>
      <c r="N6" s="75">
        <v>0</v>
      </c>
      <c r="O6" s="75">
        <v>0</v>
      </c>
      <c r="P6" s="75">
        <v>0</v>
      </c>
      <c r="Q6" s="76">
        <f>SUM(M6:P6)</f>
        <v>109789.32135274335</v>
      </c>
      <c r="R6" s="26" t="s">
        <v>70</v>
      </c>
      <c r="S6" s="62">
        <v>0</v>
      </c>
      <c r="T6" s="75">
        <v>15000</v>
      </c>
      <c r="U6" s="27" t="s">
        <v>72</v>
      </c>
      <c r="V6" s="75">
        <v>0</v>
      </c>
      <c r="W6" s="27" t="s">
        <v>72</v>
      </c>
      <c r="X6" s="77">
        <v>5</v>
      </c>
      <c r="Y6" s="27" t="s">
        <v>72</v>
      </c>
      <c r="Z6" s="77">
        <v>1</v>
      </c>
      <c r="AA6" s="27" t="s">
        <v>72</v>
      </c>
      <c r="AB6" s="17" t="s">
        <v>518</v>
      </c>
    </row>
    <row r="7" spans="1:28" x14ac:dyDescent="0.25">
      <c r="A7" s="73">
        <v>2</v>
      </c>
      <c r="B7" s="6" t="s">
        <v>519</v>
      </c>
      <c r="C7" s="7" t="s">
        <v>520</v>
      </c>
      <c r="D7" s="7" t="s">
        <v>40</v>
      </c>
      <c r="E7" s="7" t="s">
        <v>521</v>
      </c>
      <c r="F7" s="7" t="s">
        <v>516</v>
      </c>
      <c r="G7" s="7" t="s">
        <v>517</v>
      </c>
      <c r="H7" s="70">
        <v>130133.01269230765</v>
      </c>
      <c r="I7" s="70">
        <v>0</v>
      </c>
      <c r="J7" s="49">
        <f>SUM(H7:I7)</f>
        <v>130133.01269230765</v>
      </c>
      <c r="K7" s="26" t="s">
        <v>70</v>
      </c>
      <c r="L7" s="74">
        <v>0</v>
      </c>
      <c r="M7" s="50">
        <f>H7*EnergyRate_Electricity</f>
        <v>194759.25557216408</v>
      </c>
      <c r="N7" s="75">
        <v>0</v>
      </c>
      <c r="O7" s="75">
        <v>0</v>
      </c>
      <c r="P7" s="75">
        <v>0</v>
      </c>
      <c r="Q7" s="76">
        <f>SUM(M7:P7)</f>
        <v>194759.25557216408</v>
      </c>
      <c r="R7" s="26" t="s">
        <v>70</v>
      </c>
      <c r="S7" s="62">
        <v>0</v>
      </c>
      <c r="T7" s="75">
        <v>45000</v>
      </c>
      <c r="U7" s="27" t="s">
        <v>72</v>
      </c>
      <c r="V7" s="75">
        <v>24000</v>
      </c>
      <c r="W7" s="27" t="s">
        <v>72</v>
      </c>
      <c r="X7" s="77">
        <v>5</v>
      </c>
      <c r="Y7" s="27" t="s">
        <v>72</v>
      </c>
      <c r="Z7" s="77">
        <v>2</v>
      </c>
      <c r="AA7" s="27" t="s">
        <v>72</v>
      </c>
      <c r="AB7" s="17" t="s">
        <v>518</v>
      </c>
    </row>
    <row r="8" spans="1:28" x14ac:dyDescent="0.25">
      <c r="A8" s="73">
        <v>3</v>
      </c>
      <c r="B8" s="6" t="s">
        <v>522</v>
      </c>
      <c r="C8" s="7" t="s">
        <v>523</v>
      </c>
      <c r="D8" s="7" t="s">
        <v>40</v>
      </c>
      <c r="E8" s="7" t="s">
        <v>524</v>
      </c>
      <c r="F8" s="7" t="s">
        <v>516</v>
      </c>
      <c r="G8" s="7" t="s">
        <v>517</v>
      </c>
      <c r="H8" s="70">
        <v>14691.618213993148</v>
      </c>
      <c r="I8" s="70">
        <v>0</v>
      </c>
      <c r="J8" s="49">
        <f>SUM(H8:I8)</f>
        <v>14691.618213993148</v>
      </c>
      <c r="K8" s="27" t="s">
        <v>72</v>
      </c>
      <c r="L8" s="74">
        <v>0</v>
      </c>
      <c r="M8" s="50">
        <f>H8*EnergyRate_Electricity</f>
        <v>21987.722925259608</v>
      </c>
      <c r="N8" s="75">
        <v>0</v>
      </c>
      <c r="O8" s="75">
        <v>0</v>
      </c>
      <c r="P8" s="75">
        <v>0</v>
      </c>
      <c r="Q8" s="76">
        <f>SUM(M8:P8)</f>
        <v>21987.722925259608</v>
      </c>
      <c r="R8" s="27" t="s">
        <v>72</v>
      </c>
      <c r="S8" s="62">
        <v>0</v>
      </c>
      <c r="T8" s="75">
        <v>36000</v>
      </c>
      <c r="U8" s="27" t="s">
        <v>72</v>
      </c>
      <c r="V8" s="75">
        <v>0</v>
      </c>
      <c r="W8" s="27" t="s">
        <v>72</v>
      </c>
      <c r="X8" s="77">
        <v>15</v>
      </c>
      <c r="Y8" s="27" t="s">
        <v>72</v>
      </c>
      <c r="Z8" s="77">
        <v>2</v>
      </c>
      <c r="AA8" s="27" t="s">
        <v>72</v>
      </c>
      <c r="AB8" s="17" t="s">
        <v>518</v>
      </c>
    </row>
    <row r="9" spans="1:28" x14ac:dyDescent="0.25">
      <c r="A9" s="73">
        <v>4</v>
      </c>
      <c r="B9" s="6" t="s">
        <v>525</v>
      </c>
      <c r="C9" s="7" t="s">
        <v>526</v>
      </c>
      <c r="D9" s="7" t="s">
        <v>40</v>
      </c>
      <c r="E9" s="7" t="s">
        <v>527</v>
      </c>
      <c r="F9" s="7" t="s">
        <v>516</v>
      </c>
      <c r="G9" s="7" t="s">
        <v>517</v>
      </c>
      <c r="H9" s="70">
        <v>11578.771584321628</v>
      </c>
      <c r="I9" s="70">
        <v>0</v>
      </c>
      <c r="J9" s="49">
        <f>SUM(H9:I9)</f>
        <v>11578.771584321628</v>
      </c>
      <c r="K9" s="27" t="s">
        <v>72</v>
      </c>
      <c r="L9" s="74">
        <v>0</v>
      </c>
      <c r="M9" s="50">
        <f>H9*EnergyRate_Electricity</f>
        <v>17328.984302658107</v>
      </c>
      <c r="N9" s="75">
        <v>0</v>
      </c>
      <c r="O9" s="75">
        <v>0</v>
      </c>
      <c r="P9" s="75">
        <v>0</v>
      </c>
      <c r="Q9" s="76">
        <f>SUM(M9:P9)</f>
        <v>17328.984302658107</v>
      </c>
      <c r="R9" s="27" t="s">
        <v>72</v>
      </c>
      <c r="S9" s="62">
        <v>0</v>
      </c>
      <c r="T9" s="75">
        <v>518500</v>
      </c>
      <c r="U9" s="27" t="s">
        <v>72</v>
      </c>
      <c r="V9" s="75">
        <v>0</v>
      </c>
      <c r="W9" s="27" t="s">
        <v>72</v>
      </c>
      <c r="X9" s="77">
        <v>15</v>
      </c>
      <c r="Y9" s="27" t="s">
        <v>72</v>
      </c>
      <c r="Z9" s="77">
        <v>4</v>
      </c>
      <c r="AA9" s="27" t="s">
        <v>72</v>
      </c>
      <c r="AB9" s="17" t="s">
        <v>518</v>
      </c>
    </row>
    <row r="10" spans="1:28" x14ac:dyDescent="0.25">
      <c r="A10" s="73">
        <v>5</v>
      </c>
      <c r="B10" s="6" t="s">
        <v>528</v>
      </c>
      <c r="C10" s="7" t="s">
        <v>529</v>
      </c>
      <c r="D10" s="7" t="s">
        <v>47</v>
      </c>
      <c r="E10" s="7" t="s">
        <v>524</v>
      </c>
      <c r="F10" s="7" t="s">
        <v>530</v>
      </c>
      <c r="G10" s="7" t="s">
        <v>517</v>
      </c>
      <c r="H10" s="70">
        <v>49819.58824089554</v>
      </c>
      <c r="I10" s="70">
        <v>0</v>
      </c>
      <c r="J10" s="49">
        <f>SUM(H10:I10)</f>
        <v>49819.58824089554</v>
      </c>
      <c r="K10" s="27" t="s">
        <v>72</v>
      </c>
      <c r="L10" s="74">
        <v>0</v>
      </c>
      <c r="M10" s="50">
        <f>H10*EnergyRate_Electricity</f>
        <v>74560.83370366867</v>
      </c>
      <c r="N10" s="75">
        <v>0</v>
      </c>
      <c r="O10" s="75">
        <v>0</v>
      </c>
      <c r="P10" s="75">
        <v>0</v>
      </c>
      <c r="Q10" s="76">
        <f>SUM(M10:P10)</f>
        <v>74560.83370366867</v>
      </c>
      <c r="R10" s="27" t="s">
        <v>72</v>
      </c>
      <c r="S10" s="62">
        <v>0</v>
      </c>
      <c r="T10" s="75">
        <v>82500</v>
      </c>
      <c r="U10" s="27" t="s">
        <v>72</v>
      </c>
      <c r="V10" s="75">
        <v>825</v>
      </c>
      <c r="W10" s="27" t="s">
        <v>72</v>
      </c>
      <c r="X10" s="77">
        <v>10</v>
      </c>
      <c r="Y10" s="27" t="s">
        <v>72</v>
      </c>
      <c r="Z10" s="77">
        <v>2</v>
      </c>
      <c r="AA10" s="27" t="s">
        <v>72</v>
      </c>
      <c r="AB10" s="17" t="s">
        <v>518</v>
      </c>
    </row>
    <row r="11" spans="1:28" x14ac:dyDescent="0.25">
      <c r="A11" s="73">
        <v>6</v>
      </c>
      <c r="B11" s="6" t="s">
        <v>531</v>
      </c>
      <c r="C11" s="7" t="s">
        <v>532</v>
      </c>
      <c r="D11" s="7" t="s">
        <v>47</v>
      </c>
      <c r="E11" s="7" t="s">
        <v>524</v>
      </c>
      <c r="F11" s="7" t="s">
        <v>533</v>
      </c>
      <c r="G11" s="7" t="s">
        <v>517</v>
      </c>
      <c r="H11" s="70">
        <v>87944.10375789819</v>
      </c>
      <c r="I11" s="70">
        <v>0</v>
      </c>
      <c r="J11" s="49">
        <f>SUM(H11:I11)</f>
        <v>87944.10375789819</v>
      </c>
      <c r="K11" s="25" t="s">
        <v>68</v>
      </c>
      <c r="L11" s="74">
        <v>0</v>
      </c>
      <c r="M11" s="50">
        <f>H11*EnergyRate_Electricity</f>
        <v>131618.62486306572</v>
      </c>
      <c r="N11" s="75">
        <v>0</v>
      </c>
      <c r="O11" s="75">
        <v>0</v>
      </c>
      <c r="P11" s="75">
        <v>0</v>
      </c>
      <c r="Q11" s="76">
        <f>SUM(M11:P11)</f>
        <v>131618.62486306572</v>
      </c>
      <c r="R11" s="25" t="s">
        <v>68</v>
      </c>
      <c r="S11" s="62">
        <v>0</v>
      </c>
      <c r="T11" s="75">
        <v>98000</v>
      </c>
      <c r="U11" s="26" t="s">
        <v>70</v>
      </c>
      <c r="V11" s="75">
        <v>1000</v>
      </c>
      <c r="W11" s="27" t="s">
        <v>72</v>
      </c>
      <c r="X11" s="77">
        <v>10</v>
      </c>
      <c r="Y11" s="27" t="s">
        <v>72</v>
      </c>
      <c r="Z11" s="77">
        <v>2</v>
      </c>
      <c r="AA11" s="27" t="s">
        <v>72</v>
      </c>
      <c r="AB11" s="17" t="s">
        <v>518</v>
      </c>
    </row>
    <row r="12" spans="1:28" x14ac:dyDescent="0.25">
      <c r="A12" s="73">
        <v>7</v>
      </c>
      <c r="B12" s="6" t="s">
        <v>534</v>
      </c>
      <c r="C12" s="7" t="s">
        <v>535</v>
      </c>
      <c r="D12" s="7" t="s">
        <v>47</v>
      </c>
      <c r="E12" s="7" t="s">
        <v>524</v>
      </c>
      <c r="F12" s="7" t="s">
        <v>536</v>
      </c>
      <c r="G12" s="7" t="s">
        <v>517</v>
      </c>
      <c r="H12" s="70">
        <v>5714.548140506609</v>
      </c>
      <c r="I12" s="70">
        <v>0</v>
      </c>
      <c r="J12" s="49">
        <f>SUM(H12:I12)</f>
        <v>5714.548140506609</v>
      </c>
      <c r="K12" s="27" t="s">
        <v>72</v>
      </c>
      <c r="L12" s="74">
        <v>0</v>
      </c>
      <c r="M12" s="50">
        <f>H12*EnergyRate_Electricity</f>
        <v>8552.488863128814</v>
      </c>
      <c r="N12" s="75">
        <v>0</v>
      </c>
      <c r="O12" s="75">
        <v>0</v>
      </c>
      <c r="P12" s="75">
        <v>0</v>
      </c>
      <c r="Q12" s="76">
        <f>SUM(M12:P12)</f>
        <v>8552.488863128814</v>
      </c>
      <c r="R12" s="27" t="s">
        <v>72</v>
      </c>
      <c r="S12" s="62">
        <v>0</v>
      </c>
      <c r="T12" s="75">
        <v>19800</v>
      </c>
      <c r="U12" s="27" t="s">
        <v>72</v>
      </c>
      <c r="V12" s="75">
        <v>0</v>
      </c>
      <c r="W12" s="27" t="s">
        <v>72</v>
      </c>
      <c r="X12" s="77">
        <v>10</v>
      </c>
      <c r="Y12" s="27" t="s">
        <v>72</v>
      </c>
      <c r="Z12" s="77">
        <v>1</v>
      </c>
      <c r="AA12" s="27" t="s">
        <v>72</v>
      </c>
      <c r="AB12" s="17" t="s">
        <v>518</v>
      </c>
    </row>
    <row r="13" spans="1:28" x14ac:dyDescent="0.25">
      <c r="A13" s="73">
        <v>8</v>
      </c>
      <c r="B13" s="6" t="s">
        <v>537</v>
      </c>
      <c r="C13" s="7" t="s">
        <v>538</v>
      </c>
      <c r="D13" s="7" t="s">
        <v>43</v>
      </c>
      <c r="E13" s="7" t="s">
        <v>539</v>
      </c>
      <c r="F13" s="7" t="s">
        <v>540</v>
      </c>
      <c r="G13" s="7" t="s">
        <v>517</v>
      </c>
      <c r="H13" s="70">
        <v>91044.98020842974</v>
      </c>
      <c r="I13" s="70">
        <v>0</v>
      </c>
      <c r="J13" s="49">
        <f>SUM(H13:I13)</f>
        <v>91044.98020842974</v>
      </c>
      <c r="K13" s="26" t="s">
        <v>70</v>
      </c>
      <c r="L13" s="74">
        <v>0</v>
      </c>
      <c r="M13" s="50">
        <f>H13*EnergyRate_Electricity</f>
        <v>136259.4487142335</v>
      </c>
      <c r="N13" s="75">
        <v>0</v>
      </c>
      <c r="O13" s="75">
        <v>0</v>
      </c>
      <c r="P13" s="75">
        <v>0</v>
      </c>
      <c r="Q13" s="76">
        <f>SUM(M13:P13)</f>
        <v>136259.4487142335</v>
      </c>
      <c r="R13" s="26" t="s">
        <v>70</v>
      </c>
      <c r="S13" s="62">
        <v>0</v>
      </c>
      <c r="T13" s="75">
        <v>130000</v>
      </c>
      <c r="U13" s="27" t="s">
        <v>72</v>
      </c>
      <c r="V13" s="75">
        <v>0</v>
      </c>
      <c r="W13" s="27" t="s">
        <v>72</v>
      </c>
      <c r="X13" s="77">
        <v>10</v>
      </c>
      <c r="Y13" s="27" t="s">
        <v>72</v>
      </c>
      <c r="Z13" s="77">
        <v>3</v>
      </c>
      <c r="AA13" s="27" t="s">
        <v>72</v>
      </c>
      <c r="AB13" s="17" t="s">
        <v>518</v>
      </c>
    </row>
    <row r="14" spans="1:28" x14ac:dyDescent="0.25">
      <c r="A14" s="73">
        <v>9</v>
      </c>
      <c r="B14" s="6" t="s">
        <v>541</v>
      </c>
      <c r="C14" s="7" t="s">
        <v>542</v>
      </c>
      <c r="D14" s="7" t="s">
        <v>43</v>
      </c>
      <c r="E14" s="7" t="s">
        <v>543</v>
      </c>
      <c r="F14" s="7" t="s">
        <v>544</v>
      </c>
      <c r="G14" s="7" t="s">
        <v>517</v>
      </c>
      <c r="H14" s="70">
        <v>0</v>
      </c>
      <c r="I14" s="70">
        <v>126494.11422903377</v>
      </c>
      <c r="J14" s="49">
        <f>SUM(H14:I14)</f>
        <v>126494.11422903377</v>
      </c>
      <c r="K14" s="27" t="s">
        <v>72</v>
      </c>
      <c r="L14" s="74">
        <v>0</v>
      </c>
      <c r="M14" s="50">
        <f>I14*EnergyRate_LPG</f>
        <v>235872.7457716867</v>
      </c>
      <c r="N14" s="75">
        <v>0</v>
      </c>
      <c r="O14" s="75">
        <v>0</v>
      </c>
      <c r="P14" s="75">
        <v>0</v>
      </c>
      <c r="Q14" s="76">
        <f>SUM(M14:P14)</f>
        <v>235872.7457716867</v>
      </c>
      <c r="R14" s="27" t="s">
        <v>72</v>
      </c>
      <c r="S14" s="62">
        <v>0</v>
      </c>
      <c r="T14" s="75">
        <v>200297.42943548385</v>
      </c>
      <c r="U14" s="27" t="s">
        <v>72</v>
      </c>
      <c r="V14" s="75">
        <v>0</v>
      </c>
      <c r="W14" s="27" t="s">
        <v>72</v>
      </c>
      <c r="X14" s="77">
        <v>15</v>
      </c>
      <c r="Y14" s="27" t="s">
        <v>72</v>
      </c>
      <c r="Z14" s="77">
        <v>3</v>
      </c>
      <c r="AA14" s="27" t="s">
        <v>72</v>
      </c>
      <c r="AB14" s="17" t="s">
        <v>518</v>
      </c>
    </row>
    <row r="15" spans="1:28" x14ac:dyDescent="0.25">
      <c r="A15" s="73">
        <v>10</v>
      </c>
      <c r="B15" s="6" t="s">
        <v>545</v>
      </c>
      <c r="C15" s="7" t="s">
        <v>546</v>
      </c>
      <c r="D15" s="7" t="s">
        <v>46</v>
      </c>
      <c r="E15" s="7" t="s">
        <v>539</v>
      </c>
      <c r="F15" s="7" t="s">
        <v>547</v>
      </c>
      <c r="G15" s="7" t="s">
        <v>517</v>
      </c>
      <c r="H15" s="70">
        <v>0</v>
      </c>
      <c r="I15" s="70">
        <v>85176.74972921726</v>
      </c>
      <c r="J15" s="49">
        <f>SUM(H15:I15)</f>
        <v>85176.74972921726</v>
      </c>
      <c r="K15" s="27" t="s">
        <v>72</v>
      </c>
      <c r="L15" s="74">
        <v>0</v>
      </c>
      <c r="M15" s="50">
        <f>I15*EnergyRate_LPG</f>
        <v>158828.526979217</v>
      </c>
      <c r="N15" s="75">
        <v>0</v>
      </c>
      <c r="O15" s="75">
        <v>0</v>
      </c>
      <c r="P15" s="75">
        <v>0</v>
      </c>
      <c r="Q15" s="76">
        <f>SUM(M15:P15)</f>
        <v>158828.526979217</v>
      </c>
      <c r="R15" s="27" t="s">
        <v>72</v>
      </c>
      <c r="S15" s="62">
        <v>0</v>
      </c>
      <c r="T15" s="75">
        <v>85000</v>
      </c>
      <c r="U15" s="27" t="s">
        <v>72</v>
      </c>
      <c r="V15" s="75">
        <v>8000</v>
      </c>
      <c r="W15" s="27" t="s">
        <v>72</v>
      </c>
      <c r="X15" s="77">
        <v>10</v>
      </c>
      <c r="Y15" s="27" t="s">
        <v>72</v>
      </c>
      <c r="Z15" s="77">
        <v>2</v>
      </c>
      <c r="AA15" s="27" t="s">
        <v>72</v>
      </c>
      <c r="AB15" s="17" t="s">
        <v>518</v>
      </c>
    </row>
    <row r="16" spans="1:28" x14ac:dyDescent="0.25">
      <c r="A16" s="73">
        <v>11</v>
      </c>
      <c r="B16" s="6" t="s">
        <v>548</v>
      </c>
      <c r="C16" s="7" t="s">
        <v>549</v>
      </c>
      <c r="D16" s="7" t="s">
        <v>46</v>
      </c>
      <c r="E16" s="7" t="s">
        <v>521</v>
      </c>
      <c r="F16" s="7" t="s">
        <v>547</v>
      </c>
      <c r="G16" s="7" t="s">
        <v>517</v>
      </c>
      <c r="H16" s="70">
        <v>0</v>
      </c>
      <c r="I16" s="70">
        <v>140505.33660075814</v>
      </c>
      <c r="J16" s="49">
        <f>SUM(H16:I16)</f>
        <v>140505.33660075814</v>
      </c>
      <c r="K16" s="27" t="s">
        <v>72</v>
      </c>
      <c r="L16" s="74">
        <v>0</v>
      </c>
      <c r="M16" s="50">
        <f>I16*EnergyRate_LPG</f>
        <v>261999.3802999338</v>
      </c>
      <c r="N16" s="75">
        <v>0</v>
      </c>
      <c r="O16" s="75">
        <v>0</v>
      </c>
      <c r="P16" s="75">
        <v>0</v>
      </c>
      <c r="Q16" s="76">
        <f>SUM(M16:P16)</f>
        <v>261999.3802999338</v>
      </c>
      <c r="R16" s="27" t="s">
        <v>72</v>
      </c>
      <c r="S16" s="62">
        <v>0</v>
      </c>
      <c r="T16" s="75">
        <v>42000</v>
      </c>
      <c r="U16" s="27" t="s">
        <v>72</v>
      </c>
      <c r="V16" s="75">
        <v>15000</v>
      </c>
      <c r="W16" s="27" t="s">
        <v>72</v>
      </c>
      <c r="X16" s="77">
        <v>5</v>
      </c>
      <c r="Y16" s="27" t="s">
        <v>72</v>
      </c>
      <c r="Z16" s="77">
        <v>1</v>
      </c>
      <c r="AA16" s="27" t="s">
        <v>72</v>
      </c>
      <c r="AB16" s="17" t="s">
        <v>518</v>
      </c>
    </row>
    <row r="17" spans="1:28" x14ac:dyDescent="0.25">
      <c r="A17" s="73">
        <v>12</v>
      </c>
      <c r="B17" s="6" t="s">
        <v>550</v>
      </c>
      <c r="C17" s="7" t="s">
        <v>551</v>
      </c>
      <c r="D17" s="7" t="s">
        <v>46</v>
      </c>
      <c r="E17" s="7" t="s">
        <v>521</v>
      </c>
      <c r="F17" s="7" t="s">
        <v>547</v>
      </c>
      <c r="G17" s="7" t="s">
        <v>517</v>
      </c>
      <c r="H17" s="70">
        <v>0</v>
      </c>
      <c r="I17" s="70">
        <v>59948.94361632387</v>
      </c>
      <c r="J17" s="49">
        <f>SUM(H17:I17)</f>
        <v>59948.94361632387</v>
      </c>
      <c r="K17" s="27" t="s">
        <v>72</v>
      </c>
      <c r="L17" s="74">
        <v>0</v>
      </c>
      <c r="M17" s="50">
        <f>I17*EnergyRate_LPG</f>
        <v>111786.40226130583</v>
      </c>
      <c r="N17" s="75">
        <v>0</v>
      </c>
      <c r="O17" s="75">
        <v>0</v>
      </c>
      <c r="P17" s="75">
        <v>0</v>
      </c>
      <c r="Q17" s="76">
        <f>SUM(M17:P17)</f>
        <v>111786.40226130583</v>
      </c>
      <c r="R17" s="27" t="s">
        <v>72</v>
      </c>
      <c r="S17" s="62">
        <v>0</v>
      </c>
      <c r="T17" s="75">
        <v>7000</v>
      </c>
      <c r="U17" s="27" t="s">
        <v>72</v>
      </c>
      <c r="V17" s="75">
        <v>0</v>
      </c>
      <c r="W17" s="27" t="s">
        <v>72</v>
      </c>
      <c r="X17" s="77">
        <v>3</v>
      </c>
      <c r="Y17" s="27" t="s">
        <v>72</v>
      </c>
      <c r="Z17" s="77">
        <v>1</v>
      </c>
      <c r="AA17" s="27" t="s">
        <v>72</v>
      </c>
      <c r="AB17" s="17" t="s">
        <v>518</v>
      </c>
    </row>
    <row r="18" spans="1:28" x14ac:dyDescent="0.25">
      <c r="A18" s="73">
        <v>13</v>
      </c>
      <c r="B18" s="6" t="s">
        <v>552</v>
      </c>
      <c r="C18" s="7" t="s">
        <v>553</v>
      </c>
      <c r="D18" s="7" t="s">
        <v>46</v>
      </c>
      <c r="E18" s="7" t="s">
        <v>524</v>
      </c>
      <c r="F18" s="7" t="s">
        <v>547</v>
      </c>
      <c r="G18" s="7" t="s">
        <v>517</v>
      </c>
      <c r="H18" s="70">
        <v>0</v>
      </c>
      <c r="I18" s="70">
        <v>181729.59467712278</v>
      </c>
      <c r="J18" s="49">
        <f>SUM(H18:I18)</f>
        <v>181729.59467712278</v>
      </c>
      <c r="K18" s="27" t="s">
        <v>72</v>
      </c>
      <c r="L18" s="74">
        <v>0</v>
      </c>
      <c r="M18" s="50">
        <f>I18*EnergyRate_LPG</f>
        <v>338869.984154804</v>
      </c>
      <c r="N18" s="75">
        <v>0</v>
      </c>
      <c r="O18" s="75">
        <v>0</v>
      </c>
      <c r="P18" s="75">
        <v>0</v>
      </c>
      <c r="Q18" s="76">
        <f>SUM(M18:P18)</f>
        <v>338869.984154804</v>
      </c>
      <c r="R18" s="27" t="s">
        <v>72</v>
      </c>
      <c r="S18" s="62">
        <v>0</v>
      </c>
      <c r="T18" s="75">
        <v>67200</v>
      </c>
      <c r="U18" s="27" t="s">
        <v>72</v>
      </c>
      <c r="V18" s="75">
        <v>0</v>
      </c>
      <c r="W18" s="27" t="s">
        <v>72</v>
      </c>
      <c r="X18" s="77">
        <v>20</v>
      </c>
      <c r="Y18" s="27" t="s">
        <v>72</v>
      </c>
      <c r="Z18" s="77">
        <v>1</v>
      </c>
      <c r="AA18" s="27" t="s">
        <v>72</v>
      </c>
      <c r="AB18" s="17" t="s">
        <v>518</v>
      </c>
    </row>
    <row r="19" spans="1:28" x14ac:dyDescent="0.25">
      <c r="A19" s="73">
        <v>14</v>
      </c>
      <c r="B19" s="6" t="s">
        <v>554</v>
      </c>
      <c r="C19" s="7" t="s">
        <v>555</v>
      </c>
      <c r="D19" s="7" t="s">
        <v>46</v>
      </c>
      <c r="E19" s="7" t="s">
        <v>527</v>
      </c>
      <c r="F19" s="7" t="s">
        <v>556</v>
      </c>
      <c r="G19" s="7" t="s">
        <v>517</v>
      </c>
      <c r="H19" s="70">
        <v>-65135.28335416667</v>
      </c>
      <c r="I19" s="70">
        <v>298807.58777126775</v>
      </c>
      <c r="J19" s="49">
        <f>SUM(H19:I19)</f>
        <v>233672.30441710108</v>
      </c>
      <c r="K19" s="27" t="s">
        <v>72</v>
      </c>
      <c r="L19" s="74">
        <v>0</v>
      </c>
      <c r="M19" s="50">
        <f>H19*EnergyRate_Electricity+I19*EnergyRate_LPG</f>
        <v>459701.989945614</v>
      </c>
      <c r="N19" s="75">
        <v>0</v>
      </c>
      <c r="O19" s="75">
        <v>0</v>
      </c>
      <c r="P19" s="75">
        <v>0</v>
      </c>
      <c r="Q19" s="76">
        <f>SUM(M19:P19)</f>
        <v>459701.989945614</v>
      </c>
      <c r="R19" s="27" t="s">
        <v>72</v>
      </c>
      <c r="S19" s="62">
        <v>0</v>
      </c>
      <c r="T19" s="75">
        <v>769780.6214583333</v>
      </c>
      <c r="U19" s="27" t="s">
        <v>72</v>
      </c>
      <c r="V19" s="75">
        <v>0</v>
      </c>
      <c r="W19" s="27" t="s">
        <v>72</v>
      </c>
      <c r="X19" s="77">
        <v>15</v>
      </c>
      <c r="Y19" s="27" t="s">
        <v>72</v>
      </c>
      <c r="Z19" s="77">
        <v>4</v>
      </c>
      <c r="AA19" s="27" t="s">
        <v>72</v>
      </c>
      <c r="AB19" s="17" t="s">
        <v>518</v>
      </c>
    </row>
    <row r="20" spans="1:28" x14ac:dyDescent="0.25">
      <c r="A20" s="73">
        <v>15</v>
      </c>
      <c r="B20" s="6" t="s">
        <v>557</v>
      </c>
      <c r="C20" s="7" t="s">
        <v>558</v>
      </c>
      <c r="D20" s="7" t="s">
        <v>46</v>
      </c>
      <c r="E20" s="7" t="s">
        <v>543</v>
      </c>
      <c r="F20" s="7" t="s">
        <v>547</v>
      </c>
      <c r="G20" s="7" t="s">
        <v>517</v>
      </c>
      <c r="H20" s="70">
        <v>0</v>
      </c>
      <c r="I20" s="70">
        <v>41786.38557927159</v>
      </c>
      <c r="J20" s="49">
        <f>SUM(H20:I20)</f>
        <v>41786.38557927159</v>
      </c>
      <c r="K20" s="27" t="s">
        <v>72</v>
      </c>
      <c r="L20" s="74">
        <v>0</v>
      </c>
      <c r="M20" s="50">
        <f>I20*EnergyRate_LPG</f>
        <v>77918.79932540708</v>
      </c>
      <c r="N20" s="75">
        <v>0</v>
      </c>
      <c r="O20" s="75">
        <v>0</v>
      </c>
      <c r="P20" s="75">
        <v>0</v>
      </c>
      <c r="Q20" s="76">
        <f>SUM(M20:P20)</f>
        <v>77918.79932540708</v>
      </c>
      <c r="R20" s="27" t="s">
        <v>72</v>
      </c>
      <c r="S20" s="62">
        <v>0</v>
      </c>
      <c r="T20" s="75">
        <v>250000</v>
      </c>
      <c r="U20" s="27" t="s">
        <v>72</v>
      </c>
      <c r="V20" s="75">
        <v>-22270.52483790146</v>
      </c>
      <c r="W20" s="26" t="s">
        <v>70</v>
      </c>
      <c r="X20" s="77">
        <v>15</v>
      </c>
      <c r="Y20" s="27" t="s">
        <v>72</v>
      </c>
      <c r="Z20" s="77">
        <v>4</v>
      </c>
      <c r="AA20" s="27" t="s">
        <v>72</v>
      </c>
      <c r="AB20" s="17" t="s">
        <v>518</v>
      </c>
    </row>
    <row r="21" spans="1:28" x14ac:dyDescent="0.25">
      <c r="A21" s="73">
        <v>16</v>
      </c>
      <c r="B21" s="6" t="s">
        <v>559</v>
      </c>
      <c r="C21" s="7" t="s">
        <v>560</v>
      </c>
      <c r="D21" s="7" t="s">
        <v>46</v>
      </c>
      <c r="E21" s="7" t="s">
        <v>543</v>
      </c>
      <c r="F21" s="7" t="s">
        <v>561</v>
      </c>
      <c r="G21" s="7" t="s">
        <v>517</v>
      </c>
      <c r="H21" s="70">
        <v>0</v>
      </c>
      <c r="I21" s="70">
        <v>78640.17703717912</v>
      </c>
      <c r="J21" s="49">
        <f>SUM(H21:I21)</f>
        <v>78640.17703717912</v>
      </c>
      <c r="K21" s="27" t="s">
        <v>72</v>
      </c>
      <c r="L21" s="74">
        <v>0</v>
      </c>
      <c r="M21" s="50">
        <f>I21*EnergyRate_LPG</f>
        <v>146639.82272049048</v>
      </c>
      <c r="N21" s="75">
        <v>0</v>
      </c>
      <c r="O21" s="75">
        <v>0</v>
      </c>
      <c r="P21" s="75">
        <v>0</v>
      </c>
      <c r="Q21" s="76">
        <f>SUM(M21:P21)</f>
        <v>146639.82272049048</v>
      </c>
      <c r="R21" s="27" t="s">
        <v>72</v>
      </c>
      <c r="S21" s="62">
        <v>0</v>
      </c>
      <c r="T21" s="75">
        <v>176634.91262439443</v>
      </c>
      <c r="U21" s="27" t="s">
        <v>72</v>
      </c>
      <c r="V21" s="75">
        <v>0</v>
      </c>
      <c r="W21" s="27" t="s">
        <v>72</v>
      </c>
      <c r="X21" s="77">
        <v>20</v>
      </c>
      <c r="Y21" s="27" t="s">
        <v>72</v>
      </c>
      <c r="Z21" s="77">
        <v>4</v>
      </c>
      <c r="AA21" s="27" t="s">
        <v>72</v>
      </c>
      <c r="AB21" s="17" t="s">
        <v>518</v>
      </c>
    </row>
    <row r="22" spans="1:28" x14ac:dyDescent="0.25">
      <c r="A22" s="73">
        <v>17</v>
      </c>
      <c r="B22" s="6" t="s">
        <v>562</v>
      </c>
      <c r="C22" s="7" t="s">
        <v>563</v>
      </c>
      <c r="D22" s="7" t="s">
        <v>48</v>
      </c>
      <c r="E22" s="7" t="s">
        <v>539</v>
      </c>
      <c r="F22" s="7" t="s">
        <v>564</v>
      </c>
      <c r="G22" s="7" t="s">
        <v>517</v>
      </c>
      <c r="H22" s="70">
        <v>0</v>
      </c>
      <c r="I22" s="70">
        <v>155940.76258084513</v>
      </c>
      <c r="J22" s="49">
        <f>SUM(H22:I22)</f>
        <v>155940.76258084513</v>
      </c>
      <c r="K22" s="27" t="s">
        <v>72</v>
      </c>
      <c r="L22" s="74">
        <v>0</v>
      </c>
      <c r="M22" s="50">
        <f>I22*EnergyRate_LPG</f>
        <v>290781.71796259074</v>
      </c>
      <c r="N22" s="75">
        <v>0</v>
      </c>
      <c r="O22" s="75">
        <v>0</v>
      </c>
      <c r="P22" s="75">
        <v>0</v>
      </c>
      <c r="Q22" s="76">
        <f>SUM(M22:P22)</f>
        <v>290781.71796259074</v>
      </c>
      <c r="R22" s="27" t="s">
        <v>72</v>
      </c>
      <c r="S22" s="62">
        <v>0</v>
      </c>
      <c r="T22" s="75">
        <v>13000</v>
      </c>
      <c r="U22" s="27" t="s">
        <v>72</v>
      </c>
      <c r="V22" s="75">
        <v>8000</v>
      </c>
      <c r="W22" s="27" t="s">
        <v>72</v>
      </c>
      <c r="X22" s="77">
        <v>5</v>
      </c>
      <c r="Y22" s="27" t="s">
        <v>72</v>
      </c>
      <c r="Z22" s="77">
        <v>1</v>
      </c>
      <c r="AA22" s="27" t="s">
        <v>72</v>
      </c>
      <c r="AB22" s="17" t="s">
        <v>518</v>
      </c>
    </row>
    <row r="23" spans="1:28" x14ac:dyDescent="0.25">
      <c r="A23" s="73">
        <v>18</v>
      </c>
      <c r="B23" s="6" t="s">
        <v>565</v>
      </c>
      <c r="C23" s="7" t="s">
        <v>566</v>
      </c>
      <c r="D23" s="7" t="s">
        <v>48</v>
      </c>
      <c r="E23" s="7" t="s">
        <v>524</v>
      </c>
      <c r="F23" s="7" t="s">
        <v>567</v>
      </c>
      <c r="G23" s="7" t="s">
        <v>517</v>
      </c>
      <c r="H23" s="70">
        <v>0</v>
      </c>
      <c r="I23" s="70">
        <v>29200.871869377588</v>
      </c>
      <c r="J23" s="49">
        <f>SUM(H23:I23)</f>
        <v>29200.871869377588</v>
      </c>
      <c r="K23" s="27" t="s">
        <v>72</v>
      </c>
      <c r="L23" s="74">
        <v>0</v>
      </c>
      <c r="M23" s="50">
        <f>I23*EnergyRate_LPG</f>
        <v>54450.67439490705</v>
      </c>
      <c r="N23" s="75">
        <v>0</v>
      </c>
      <c r="O23" s="75">
        <v>0</v>
      </c>
      <c r="P23" s="75">
        <v>0</v>
      </c>
      <c r="Q23" s="76">
        <f>SUM(M23:P23)</f>
        <v>54450.67439490705</v>
      </c>
      <c r="R23" s="27" t="s">
        <v>72</v>
      </c>
      <c r="S23" s="62">
        <v>0</v>
      </c>
      <c r="T23" s="75">
        <v>10950</v>
      </c>
      <c r="U23" s="27" t="s">
        <v>72</v>
      </c>
      <c r="V23" s="75">
        <v>0</v>
      </c>
      <c r="W23" s="27" t="s">
        <v>72</v>
      </c>
      <c r="X23" s="77">
        <v>15</v>
      </c>
      <c r="Y23" s="27" t="s">
        <v>72</v>
      </c>
      <c r="Z23" s="77">
        <v>1</v>
      </c>
      <c r="AA23" s="27" t="s">
        <v>72</v>
      </c>
      <c r="AB23" s="17" t="s">
        <v>518</v>
      </c>
    </row>
    <row r="24" spans="1:28" x14ac:dyDescent="0.25">
      <c r="A24" s="73">
        <v>19</v>
      </c>
      <c r="B24" s="6" t="s">
        <v>568</v>
      </c>
      <c r="C24" s="7" t="s">
        <v>569</v>
      </c>
      <c r="D24" s="7" t="s">
        <v>48</v>
      </c>
      <c r="E24" s="7" t="s">
        <v>543</v>
      </c>
      <c r="F24" s="7" t="s">
        <v>570</v>
      </c>
      <c r="G24" s="7" t="s">
        <v>517</v>
      </c>
      <c r="H24" s="70">
        <v>0</v>
      </c>
      <c r="I24" s="70">
        <v>63264.01181997255</v>
      </c>
      <c r="J24" s="49">
        <f>SUM(H24:I24)</f>
        <v>63264.01181997255</v>
      </c>
      <c r="K24" s="27" t="s">
        <v>72</v>
      </c>
      <c r="L24" s="74">
        <v>0</v>
      </c>
      <c r="M24" s="50">
        <f>I24*EnergyRate_LPG</f>
        <v>117967.98821398689</v>
      </c>
      <c r="N24" s="75">
        <v>0</v>
      </c>
      <c r="O24" s="75">
        <v>0</v>
      </c>
      <c r="P24" s="75">
        <v>0</v>
      </c>
      <c r="Q24" s="76">
        <f>SUM(M24:P24)</f>
        <v>117967.98821398689</v>
      </c>
      <c r="R24" s="27" t="s">
        <v>72</v>
      </c>
      <c r="S24" s="62">
        <v>0</v>
      </c>
      <c r="T24" s="75">
        <v>248410.86926538887</v>
      </c>
      <c r="U24" s="27" t="s">
        <v>72</v>
      </c>
      <c r="V24" s="75">
        <v>0</v>
      </c>
      <c r="W24" s="27" t="s">
        <v>72</v>
      </c>
      <c r="X24" s="77">
        <v>15</v>
      </c>
      <c r="Y24" s="27" t="s">
        <v>72</v>
      </c>
      <c r="Z24" s="77">
        <v>4</v>
      </c>
      <c r="AA24" s="27" t="s">
        <v>72</v>
      </c>
      <c r="AB24" s="17" t="s">
        <v>518</v>
      </c>
    </row>
    <row r="25" spans="1:28" x14ac:dyDescent="0.25">
      <c r="A25" s="73">
        <v>20</v>
      </c>
      <c r="B25" s="6" t="s">
        <v>571</v>
      </c>
      <c r="C25" s="7" t="s">
        <v>572</v>
      </c>
      <c r="D25" s="7" t="s">
        <v>50</v>
      </c>
      <c r="E25" s="7" t="s">
        <v>515</v>
      </c>
      <c r="F25" s="7" t="s">
        <v>573</v>
      </c>
      <c r="G25" s="7" t="s">
        <v>517</v>
      </c>
      <c r="H25" s="70">
        <v>4204.200000000012</v>
      </c>
      <c r="I25" s="70">
        <v>0</v>
      </c>
      <c r="J25" s="49">
        <f>SUM(H25:I25)</f>
        <v>4204.200000000012</v>
      </c>
      <c r="K25" s="27" t="s">
        <v>72</v>
      </c>
      <c r="L25" s="74">
        <v>0</v>
      </c>
      <c r="M25" s="50">
        <f>H25*EnergyRate_Electricity</f>
        <v>6292.076432692128</v>
      </c>
      <c r="N25" s="75">
        <v>0</v>
      </c>
      <c r="O25" s="75">
        <v>0</v>
      </c>
      <c r="P25" s="75">
        <v>0</v>
      </c>
      <c r="Q25" s="76">
        <f>SUM(M25:P25)</f>
        <v>6292.076432692128</v>
      </c>
      <c r="R25" s="27" t="s">
        <v>72</v>
      </c>
      <c r="S25" s="62">
        <v>0</v>
      </c>
      <c r="T25" s="75">
        <v>5600</v>
      </c>
      <c r="U25" s="27" t="s">
        <v>72</v>
      </c>
      <c r="V25" s="75">
        <v>0</v>
      </c>
      <c r="W25" s="27" t="s">
        <v>72</v>
      </c>
      <c r="X25" s="77">
        <v>5</v>
      </c>
      <c r="Y25" s="27" t="s">
        <v>72</v>
      </c>
      <c r="Z25" s="77">
        <v>1</v>
      </c>
      <c r="AA25" s="27" t="s">
        <v>72</v>
      </c>
      <c r="AB25" s="17" t="s">
        <v>518</v>
      </c>
    </row>
    <row r="26" spans="1:28" x14ac:dyDescent="0.25">
      <c r="A26" s="73">
        <v>21</v>
      </c>
      <c r="B26" s="6" t="s">
        <v>574</v>
      </c>
      <c r="C26" s="7" t="s">
        <v>575</v>
      </c>
      <c r="D26" s="7" t="s">
        <v>49</v>
      </c>
      <c r="E26" s="7" t="s">
        <v>539</v>
      </c>
      <c r="F26" s="7" t="s">
        <v>576</v>
      </c>
      <c r="G26" s="7" t="s">
        <v>517</v>
      </c>
      <c r="H26" s="70">
        <v>34519.68000000005</v>
      </c>
      <c r="I26" s="70">
        <v>0</v>
      </c>
      <c r="J26" s="49">
        <f>SUM(H26:I26)</f>
        <v>34519.68000000005</v>
      </c>
      <c r="K26" s="27" t="s">
        <v>72</v>
      </c>
      <c r="L26" s="74">
        <v>0</v>
      </c>
      <c r="M26" s="50">
        <f>H26*EnergyRate_Electricity</f>
        <v>51662.73369299118</v>
      </c>
      <c r="N26" s="75">
        <v>0</v>
      </c>
      <c r="O26" s="75">
        <v>0</v>
      </c>
      <c r="P26" s="75">
        <v>0</v>
      </c>
      <c r="Q26" s="76">
        <f>SUM(M26:P26)</f>
        <v>51662.73369299118</v>
      </c>
      <c r="R26" s="27" t="s">
        <v>72</v>
      </c>
      <c r="S26" s="62">
        <v>0</v>
      </c>
      <c r="T26" s="75">
        <v>14000</v>
      </c>
      <c r="U26" s="27" t="s">
        <v>72</v>
      </c>
      <c r="V26" s="75">
        <v>0</v>
      </c>
      <c r="W26" s="27" t="s">
        <v>72</v>
      </c>
      <c r="X26" s="77">
        <v>10</v>
      </c>
      <c r="Y26" s="27" t="s">
        <v>72</v>
      </c>
      <c r="Z26" s="77">
        <v>1</v>
      </c>
      <c r="AA26" s="27" t="s">
        <v>72</v>
      </c>
      <c r="AB26" s="17" t="s">
        <v>518</v>
      </c>
    </row>
    <row r="27" spans="1:28" x14ac:dyDescent="0.25">
      <c r="A27" s="73">
        <v>22</v>
      </c>
      <c r="B27" s="6" t="s">
        <v>577</v>
      </c>
      <c r="C27" s="7" t="s">
        <v>578</v>
      </c>
      <c r="D27" s="7" t="s">
        <v>49</v>
      </c>
      <c r="E27" s="7" t="s">
        <v>524</v>
      </c>
      <c r="F27" s="7" t="s">
        <v>576</v>
      </c>
      <c r="G27" s="7" t="s">
        <v>517</v>
      </c>
      <c r="H27" s="70">
        <v>168233.91999999995</v>
      </c>
      <c r="I27" s="70">
        <v>0</v>
      </c>
      <c r="J27" s="49">
        <f>SUM(H27:I27)</f>
        <v>168233.91999999995</v>
      </c>
      <c r="K27" s="26" t="s">
        <v>70</v>
      </c>
      <c r="L27" s="74">
        <v>0</v>
      </c>
      <c r="M27" s="50">
        <f>H27*EnergyRate_Electricity</f>
        <v>251781.71428842816</v>
      </c>
      <c r="N27" s="75">
        <v>0</v>
      </c>
      <c r="O27" s="75">
        <v>0</v>
      </c>
      <c r="P27" s="75">
        <v>0</v>
      </c>
      <c r="Q27" s="76">
        <f>SUM(M27:P27)</f>
        <v>251781.71428842816</v>
      </c>
      <c r="R27" s="26" t="s">
        <v>70</v>
      </c>
      <c r="S27" s="62">
        <v>0</v>
      </c>
      <c r="T27" s="75">
        <v>511600</v>
      </c>
      <c r="U27" s="27" t="s">
        <v>72</v>
      </c>
      <c r="V27" s="75">
        <v>0</v>
      </c>
      <c r="W27" s="27" t="s">
        <v>72</v>
      </c>
      <c r="X27" s="77">
        <v>10</v>
      </c>
      <c r="Y27" s="27" t="s">
        <v>72</v>
      </c>
      <c r="Z27" s="77">
        <v>2</v>
      </c>
      <c r="AA27" s="27" t="s">
        <v>72</v>
      </c>
      <c r="AB27" s="17" t="s">
        <v>518</v>
      </c>
    </row>
    <row r="28" spans="1:28" x14ac:dyDescent="0.25">
      <c r="A28" s="73">
        <v>23</v>
      </c>
      <c r="B28" s="6" t="s">
        <v>579</v>
      </c>
      <c r="C28" s="7" t="s">
        <v>580</v>
      </c>
      <c r="D28" s="7" t="s">
        <v>51</v>
      </c>
      <c r="E28" s="7" t="s">
        <v>539</v>
      </c>
      <c r="F28" s="7" t="s">
        <v>581</v>
      </c>
      <c r="G28" s="7" t="s">
        <v>517</v>
      </c>
      <c r="H28" s="70">
        <v>5400.872746209556</v>
      </c>
      <c r="I28" s="70">
        <v>0</v>
      </c>
      <c r="J28" s="49">
        <f>SUM(H28:I28)</f>
        <v>5400.872746209556</v>
      </c>
      <c r="K28" s="25" t="s">
        <v>68</v>
      </c>
      <c r="L28" s="74">
        <v>0</v>
      </c>
      <c r="M28" s="50">
        <f>H28*EnergyRate_Electricity</f>
        <v>8083.036992149343</v>
      </c>
      <c r="N28" s="75">
        <v>0</v>
      </c>
      <c r="O28" s="75">
        <v>0</v>
      </c>
      <c r="P28" s="75">
        <v>0</v>
      </c>
      <c r="Q28" s="76">
        <f>SUM(M28:P28)</f>
        <v>8083.036992149343</v>
      </c>
      <c r="R28" s="25" t="s">
        <v>68</v>
      </c>
      <c r="S28" s="62">
        <v>0</v>
      </c>
      <c r="T28" s="75">
        <v>15000</v>
      </c>
      <c r="U28" s="27" t="s">
        <v>72</v>
      </c>
      <c r="V28" s="75">
        <v>0</v>
      </c>
      <c r="W28" s="27" t="s">
        <v>72</v>
      </c>
      <c r="X28" s="77">
        <v>10</v>
      </c>
      <c r="Y28" s="27" t="s">
        <v>72</v>
      </c>
      <c r="Z28" s="77">
        <v>1</v>
      </c>
      <c r="AA28" s="27" t="s">
        <v>72</v>
      </c>
      <c r="AB28" s="17" t="s">
        <v>518</v>
      </c>
    </row>
    <row r="29" spans="1:28" x14ac:dyDescent="0.25">
      <c r="A29" s="73">
        <v>24</v>
      </c>
      <c r="B29" s="6" t="s">
        <v>582</v>
      </c>
      <c r="C29" s="7" t="s">
        <v>583</v>
      </c>
      <c r="D29" s="7" t="s">
        <v>584</v>
      </c>
      <c r="E29" s="7" t="s">
        <v>524</v>
      </c>
      <c r="F29" s="7" t="s">
        <v>585</v>
      </c>
      <c r="G29" s="7" t="s">
        <v>517</v>
      </c>
      <c r="H29" s="70">
        <v>0</v>
      </c>
      <c r="I29" s="70">
        <v>0</v>
      </c>
      <c r="J29" s="49">
        <f>SUM(H29:I29)</f>
        <v>0</v>
      </c>
      <c r="K29" s="17" t="s">
        <v>155</v>
      </c>
      <c r="L29" s="74">
        <v>69.46665514555775</v>
      </c>
      <c r="M29" s="75">
        <v>0</v>
      </c>
      <c r="N29" s="50">
        <f>L29*DemandRate_Electricity*12</f>
        <v>35011.19419336111</v>
      </c>
      <c r="O29" s="75">
        <v>0</v>
      </c>
      <c r="P29" s="75">
        <v>0</v>
      </c>
      <c r="Q29" s="76">
        <f>SUM(M29:P29)</f>
        <v>35011.19419336111</v>
      </c>
      <c r="R29" s="25" t="s">
        <v>68</v>
      </c>
      <c r="S29" s="62">
        <v>0</v>
      </c>
      <c r="T29" s="75">
        <v>136000</v>
      </c>
      <c r="U29" s="26" t="s">
        <v>70</v>
      </c>
      <c r="V29" s="75">
        <v>1400</v>
      </c>
      <c r="W29" s="27" t="s">
        <v>72</v>
      </c>
      <c r="X29" s="77">
        <v>15</v>
      </c>
      <c r="Y29" s="27" t="s">
        <v>72</v>
      </c>
      <c r="Z29" s="77">
        <v>2</v>
      </c>
      <c r="AA29" s="27" t="s">
        <v>72</v>
      </c>
      <c r="AB29" s="17" t="s">
        <v>586</v>
      </c>
    </row>
    <row r="31" ht="18" customHeight="1" spans="1:28" x14ac:dyDescent="0.25">
      <c r="A31" s="5" t="s">
        <v>587</v>
      </c>
      <c r="B31" s="5"/>
      <c r="C31" s="5"/>
      <c r="D31" s="5"/>
      <c r="E31" s="5"/>
      <c r="F31" s="5"/>
      <c r="G31" s="5"/>
      <c r="H31" s="5"/>
      <c r="I31" s="5"/>
      <c r="J31" s="5"/>
      <c r="K31" s="5"/>
      <c r="L31" s="5"/>
      <c r="M31" s="5"/>
      <c r="N31" s="5"/>
      <c r="O31" s="5"/>
      <c r="P31" s="5"/>
      <c r="Q31" s="5"/>
      <c r="R31" s="5"/>
      <c r="S31" s="5"/>
      <c r="T31" s="5"/>
      <c r="U31" s="5"/>
      <c r="V31" s="5"/>
      <c r="W31" s="5"/>
      <c r="X31" s="5"/>
      <c r="Y31" s="5"/>
      <c r="Z31" s="5"/>
      <c r="AA31" s="5"/>
      <c r="AB31" s="5"/>
    </row>
    <row r="32" ht="20" customHeight="1" spans="1:28" x14ac:dyDescent="0.25">
      <c r="A32" s="15" t="s">
        <v>486</v>
      </c>
      <c r="B32" s="16" t="s">
        <v>487</v>
      </c>
      <c r="C32" s="16" t="s">
        <v>588</v>
      </c>
      <c r="D32" s="16"/>
      <c r="E32" s="16"/>
      <c r="F32" s="16"/>
      <c r="G32" s="16"/>
      <c r="H32" s="16"/>
      <c r="I32" s="16"/>
      <c r="J32" s="16"/>
      <c r="K32" s="16"/>
      <c r="L32" s="16"/>
      <c r="M32" s="16"/>
      <c r="N32" s="16"/>
      <c r="O32" s="16"/>
      <c r="P32" s="16"/>
      <c r="Q32" s="16"/>
      <c r="R32" s="16"/>
      <c r="S32" s="16"/>
      <c r="T32" s="16"/>
      <c r="U32" s="16"/>
      <c r="V32" s="16"/>
      <c r="W32" s="16"/>
      <c r="X32" s="16"/>
      <c r="Y32" s="16"/>
      <c r="Z32" s="16"/>
      <c r="AA32" s="16"/>
      <c r="AB32" s="16"/>
    </row>
    <row r="33" ht="28" customHeight="1" spans="1:28" x14ac:dyDescent="0.25">
      <c r="A33" s="73">
        <v>1</v>
      </c>
      <c r="B33" s="43" t="s">
        <v>513</v>
      </c>
      <c r="C33" s="29" t="s">
        <v>589</v>
      </c>
      <c r="D33" s="29"/>
      <c r="E33" s="29"/>
      <c r="F33" s="29"/>
      <c r="G33" s="29"/>
      <c r="H33" s="29"/>
      <c r="I33" s="29"/>
      <c r="J33" s="29"/>
      <c r="K33" s="29"/>
      <c r="L33" s="29"/>
      <c r="M33" s="29"/>
      <c r="N33" s="29"/>
      <c r="O33" s="29"/>
      <c r="P33" s="29"/>
      <c r="Q33" s="29"/>
      <c r="R33" s="29"/>
      <c r="S33" s="29"/>
      <c r="T33" s="29"/>
      <c r="U33" s="29"/>
      <c r="V33" s="29"/>
      <c r="W33" s="29"/>
      <c r="X33" s="29"/>
      <c r="Y33" s="29"/>
      <c r="Z33" s="29"/>
      <c r="AA33" s="29"/>
      <c r="AB33" s="29"/>
    </row>
    <row r="34" ht="28" customHeight="1" spans="1:28" x14ac:dyDescent="0.25">
      <c r="A34" s="73">
        <v>2</v>
      </c>
      <c r="B34" s="43" t="s">
        <v>519</v>
      </c>
      <c r="C34" s="29" t="s">
        <v>590</v>
      </c>
      <c r="D34" s="29"/>
      <c r="E34" s="29"/>
      <c r="F34" s="29"/>
      <c r="G34" s="29"/>
      <c r="H34" s="29"/>
      <c r="I34" s="29"/>
      <c r="J34" s="29"/>
      <c r="K34" s="29"/>
      <c r="L34" s="29"/>
      <c r="M34" s="29"/>
      <c r="N34" s="29"/>
      <c r="O34" s="29"/>
      <c r="P34" s="29"/>
      <c r="Q34" s="29"/>
      <c r="R34" s="29"/>
      <c r="S34" s="29"/>
      <c r="T34" s="29"/>
      <c r="U34" s="29"/>
      <c r="V34" s="29"/>
      <c r="W34" s="29"/>
      <c r="X34" s="29"/>
      <c r="Y34" s="29"/>
      <c r="Z34" s="29"/>
      <c r="AA34" s="29"/>
      <c r="AB34" s="29"/>
    </row>
    <row r="35" ht="28" customHeight="1" spans="1:28" x14ac:dyDescent="0.25">
      <c r="A35" s="73">
        <v>3</v>
      </c>
      <c r="B35" s="43" t="s">
        <v>522</v>
      </c>
      <c r="C35" s="29" t="s">
        <v>591</v>
      </c>
      <c r="D35" s="29"/>
      <c r="E35" s="29"/>
      <c r="F35" s="29"/>
      <c r="G35" s="29"/>
      <c r="H35" s="29"/>
      <c r="I35" s="29"/>
      <c r="J35" s="29"/>
      <c r="K35" s="29"/>
      <c r="L35" s="29"/>
      <c r="M35" s="29"/>
      <c r="N35" s="29"/>
      <c r="O35" s="29"/>
      <c r="P35" s="29"/>
      <c r="Q35" s="29"/>
      <c r="R35" s="29"/>
      <c r="S35" s="29"/>
      <c r="T35" s="29"/>
      <c r="U35" s="29"/>
      <c r="V35" s="29"/>
      <c r="W35" s="29"/>
      <c r="X35" s="29"/>
      <c r="Y35" s="29"/>
      <c r="Z35" s="29"/>
      <c r="AA35" s="29"/>
      <c r="AB35" s="29"/>
    </row>
    <row r="36" ht="28" customHeight="1" spans="1:28" x14ac:dyDescent="0.25">
      <c r="A36" s="73">
        <v>4</v>
      </c>
      <c r="B36" s="43" t="s">
        <v>525</v>
      </c>
      <c r="C36" s="29" t="s">
        <v>592</v>
      </c>
      <c r="D36" s="29"/>
      <c r="E36" s="29"/>
      <c r="F36" s="29"/>
      <c r="G36" s="29"/>
      <c r="H36" s="29"/>
      <c r="I36" s="29"/>
      <c r="J36" s="29"/>
      <c r="K36" s="29"/>
      <c r="L36" s="29"/>
      <c r="M36" s="29"/>
      <c r="N36" s="29"/>
      <c r="O36" s="29"/>
      <c r="P36" s="29"/>
      <c r="Q36" s="29"/>
      <c r="R36" s="29"/>
      <c r="S36" s="29"/>
      <c r="T36" s="29"/>
      <c r="U36" s="29"/>
      <c r="V36" s="29"/>
      <c r="W36" s="29"/>
      <c r="X36" s="29"/>
      <c r="Y36" s="29"/>
      <c r="Z36" s="29"/>
      <c r="AA36" s="29"/>
      <c r="AB36" s="29"/>
    </row>
    <row r="37" ht="28" customHeight="1" spans="1:28" x14ac:dyDescent="0.25">
      <c r="A37" s="73">
        <v>5</v>
      </c>
      <c r="B37" s="43" t="s">
        <v>528</v>
      </c>
      <c r="C37" s="29" t="s">
        <v>593</v>
      </c>
      <c r="D37" s="29"/>
      <c r="E37" s="29"/>
      <c r="F37" s="29"/>
      <c r="G37" s="29"/>
      <c r="H37" s="29"/>
      <c r="I37" s="29"/>
      <c r="J37" s="29"/>
      <c r="K37" s="29"/>
      <c r="L37" s="29"/>
      <c r="M37" s="29"/>
      <c r="N37" s="29"/>
      <c r="O37" s="29"/>
      <c r="P37" s="29"/>
      <c r="Q37" s="29"/>
      <c r="R37" s="29"/>
      <c r="S37" s="29"/>
      <c r="T37" s="29"/>
      <c r="U37" s="29"/>
      <c r="V37" s="29"/>
      <c r="W37" s="29"/>
      <c r="X37" s="29"/>
      <c r="Y37" s="29"/>
      <c r="Z37" s="29"/>
      <c r="AA37" s="29"/>
      <c r="AB37" s="29"/>
    </row>
    <row r="38" ht="28" customHeight="1" spans="1:28" x14ac:dyDescent="0.25">
      <c r="A38" s="73">
        <v>6</v>
      </c>
      <c r="B38" s="43" t="s">
        <v>531</v>
      </c>
      <c r="C38" s="29" t="s">
        <v>594</v>
      </c>
      <c r="D38" s="29"/>
      <c r="E38" s="29"/>
      <c r="F38" s="29"/>
      <c r="G38" s="29"/>
      <c r="H38" s="29"/>
      <c r="I38" s="29"/>
      <c r="J38" s="29"/>
      <c r="K38" s="29"/>
      <c r="L38" s="29"/>
      <c r="M38" s="29"/>
      <c r="N38" s="29"/>
      <c r="O38" s="29"/>
      <c r="P38" s="29"/>
      <c r="Q38" s="29"/>
      <c r="R38" s="29"/>
      <c r="S38" s="29"/>
      <c r="T38" s="29"/>
      <c r="U38" s="29"/>
      <c r="V38" s="29"/>
      <c r="W38" s="29"/>
      <c r="X38" s="29"/>
      <c r="Y38" s="29"/>
      <c r="Z38" s="29"/>
      <c r="AA38" s="29"/>
      <c r="AB38" s="29"/>
    </row>
    <row r="39" ht="28" customHeight="1" spans="1:28" x14ac:dyDescent="0.25">
      <c r="A39" s="73">
        <v>7</v>
      </c>
      <c r="B39" s="43" t="s">
        <v>534</v>
      </c>
      <c r="C39" s="29" t="s">
        <v>595</v>
      </c>
      <c r="D39" s="29"/>
      <c r="E39" s="29"/>
      <c r="F39" s="29"/>
      <c r="G39" s="29"/>
      <c r="H39" s="29"/>
      <c r="I39" s="29"/>
      <c r="J39" s="29"/>
      <c r="K39" s="29"/>
      <c r="L39" s="29"/>
      <c r="M39" s="29"/>
      <c r="N39" s="29"/>
      <c r="O39" s="29"/>
      <c r="P39" s="29"/>
      <c r="Q39" s="29"/>
      <c r="R39" s="29"/>
      <c r="S39" s="29"/>
      <c r="T39" s="29"/>
      <c r="U39" s="29"/>
      <c r="V39" s="29"/>
      <c r="W39" s="29"/>
      <c r="X39" s="29"/>
      <c r="Y39" s="29"/>
      <c r="Z39" s="29"/>
      <c r="AA39" s="29"/>
      <c r="AB39" s="29"/>
    </row>
    <row r="40" ht="28" customHeight="1" spans="1:28" x14ac:dyDescent="0.25">
      <c r="A40" s="73">
        <v>8</v>
      </c>
      <c r="B40" s="43" t="s">
        <v>537</v>
      </c>
      <c r="C40" s="29" t="s">
        <v>596</v>
      </c>
      <c r="D40" s="29"/>
      <c r="E40" s="29"/>
      <c r="F40" s="29"/>
      <c r="G40" s="29"/>
      <c r="H40" s="29"/>
      <c r="I40" s="29"/>
      <c r="J40" s="29"/>
      <c r="K40" s="29"/>
      <c r="L40" s="29"/>
      <c r="M40" s="29"/>
      <c r="N40" s="29"/>
      <c r="O40" s="29"/>
      <c r="P40" s="29"/>
      <c r="Q40" s="29"/>
      <c r="R40" s="29"/>
      <c r="S40" s="29"/>
      <c r="T40" s="29"/>
      <c r="U40" s="29"/>
      <c r="V40" s="29"/>
      <c r="W40" s="29"/>
      <c r="X40" s="29"/>
      <c r="Y40" s="29"/>
      <c r="Z40" s="29"/>
      <c r="AA40" s="29"/>
      <c r="AB40" s="29"/>
    </row>
    <row r="41" ht="28" customHeight="1" spans="1:28" x14ac:dyDescent="0.25">
      <c r="A41" s="73">
        <v>9</v>
      </c>
      <c r="B41" s="43" t="s">
        <v>541</v>
      </c>
      <c r="C41" s="29" t="s">
        <v>597</v>
      </c>
      <c r="D41" s="29"/>
      <c r="E41" s="29"/>
      <c r="F41" s="29"/>
      <c r="G41" s="29"/>
      <c r="H41" s="29"/>
      <c r="I41" s="29"/>
      <c r="J41" s="29"/>
      <c r="K41" s="29"/>
      <c r="L41" s="29"/>
      <c r="M41" s="29"/>
      <c r="N41" s="29"/>
      <c r="O41" s="29"/>
      <c r="P41" s="29"/>
      <c r="Q41" s="29"/>
      <c r="R41" s="29"/>
      <c r="S41" s="29"/>
      <c r="T41" s="29"/>
      <c r="U41" s="29"/>
      <c r="V41" s="29"/>
      <c r="W41" s="29"/>
      <c r="X41" s="29"/>
      <c r="Y41" s="29"/>
      <c r="Z41" s="29"/>
      <c r="AA41" s="29"/>
      <c r="AB41" s="29"/>
    </row>
    <row r="42" ht="15.5" customHeight="1" spans="1:28" x14ac:dyDescent="0.25">
      <c r="A42" s="73">
        <v>10</v>
      </c>
      <c r="B42" s="43" t="s">
        <v>545</v>
      </c>
      <c r="C42" s="29" t="s">
        <v>598</v>
      </c>
      <c r="D42" s="29"/>
      <c r="E42" s="29"/>
      <c r="F42" s="29"/>
      <c r="G42" s="29"/>
      <c r="H42" s="29"/>
      <c r="I42" s="29"/>
      <c r="J42" s="29"/>
      <c r="K42" s="29"/>
      <c r="L42" s="29"/>
      <c r="M42" s="29"/>
      <c r="N42" s="29"/>
      <c r="O42" s="29"/>
      <c r="P42" s="29"/>
      <c r="Q42" s="29"/>
      <c r="R42" s="29"/>
      <c r="S42" s="29"/>
      <c r="T42" s="29"/>
      <c r="U42" s="29"/>
      <c r="V42" s="29"/>
      <c r="W42" s="29"/>
      <c r="X42" s="29"/>
      <c r="Y42" s="29"/>
      <c r="Z42" s="29"/>
      <c r="AA42" s="29"/>
      <c r="AB42" s="29"/>
    </row>
    <row r="43" ht="28" customHeight="1" spans="1:28" x14ac:dyDescent="0.25">
      <c r="A43" s="73">
        <v>11</v>
      </c>
      <c r="B43" s="43" t="s">
        <v>548</v>
      </c>
      <c r="C43" s="29" t="s">
        <v>599</v>
      </c>
      <c r="D43" s="29"/>
      <c r="E43" s="29"/>
      <c r="F43" s="29"/>
      <c r="G43" s="29"/>
      <c r="H43" s="29"/>
      <c r="I43" s="29"/>
      <c r="J43" s="29"/>
      <c r="K43" s="29"/>
      <c r="L43" s="29"/>
      <c r="M43" s="29"/>
      <c r="N43" s="29"/>
      <c r="O43" s="29"/>
      <c r="P43" s="29"/>
      <c r="Q43" s="29"/>
      <c r="R43" s="29"/>
      <c r="S43" s="29"/>
      <c r="T43" s="29"/>
      <c r="U43" s="29"/>
      <c r="V43" s="29"/>
      <c r="W43" s="29"/>
      <c r="X43" s="29"/>
      <c r="Y43" s="29"/>
      <c r="Z43" s="29"/>
      <c r="AA43" s="29"/>
      <c r="AB43" s="29"/>
    </row>
    <row r="44" ht="28" customHeight="1" spans="1:28" x14ac:dyDescent="0.25">
      <c r="A44" s="73">
        <v>12</v>
      </c>
      <c r="B44" s="43" t="s">
        <v>550</v>
      </c>
      <c r="C44" s="29" t="s">
        <v>600</v>
      </c>
      <c r="D44" s="29"/>
      <c r="E44" s="29"/>
      <c r="F44" s="29"/>
      <c r="G44" s="29"/>
      <c r="H44" s="29"/>
      <c r="I44" s="29"/>
      <c r="J44" s="29"/>
      <c r="K44" s="29"/>
      <c r="L44" s="29"/>
      <c r="M44" s="29"/>
      <c r="N44" s="29"/>
      <c r="O44" s="29"/>
      <c r="P44" s="29"/>
      <c r="Q44" s="29"/>
      <c r="R44" s="29"/>
      <c r="S44" s="29"/>
      <c r="T44" s="29"/>
      <c r="U44" s="29"/>
      <c r="V44" s="29"/>
      <c r="W44" s="29"/>
      <c r="X44" s="29"/>
      <c r="Y44" s="29"/>
      <c r="Z44" s="29"/>
      <c r="AA44" s="29"/>
      <c r="AB44" s="29"/>
    </row>
    <row r="45" ht="28" customHeight="1" spans="1:28" x14ac:dyDescent="0.25">
      <c r="A45" s="73">
        <v>13</v>
      </c>
      <c r="B45" s="43" t="s">
        <v>552</v>
      </c>
      <c r="C45" s="29" t="s">
        <v>601</v>
      </c>
      <c r="D45" s="29"/>
      <c r="E45" s="29"/>
      <c r="F45" s="29"/>
      <c r="G45" s="29"/>
      <c r="H45" s="29"/>
      <c r="I45" s="29"/>
      <c r="J45" s="29"/>
      <c r="K45" s="29"/>
      <c r="L45" s="29"/>
      <c r="M45" s="29"/>
      <c r="N45" s="29"/>
      <c r="O45" s="29"/>
      <c r="P45" s="29"/>
      <c r="Q45" s="29"/>
      <c r="R45" s="29"/>
      <c r="S45" s="29"/>
      <c r="T45" s="29"/>
      <c r="U45" s="29"/>
      <c r="V45" s="29"/>
      <c r="W45" s="29"/>
      <c r="X45" s="29"/>
      <c r="Y45" s="29"/>
      <c r="Z45" s="29"/>
      <c r="AA45" s="29"/>
      <c r="AB45" s="29"/>
    </row>
    <row r="46" ht="40.5" customHeight="1" spans="1:28" x14ac:dyDescent="0.25">
      <c r="A46" s="73">
        <v>14</v>
      </c>
      <c r="B46" s="43" t="s">
        <v>554</v>
      </c>
      <c r="C46" s="29" t="s">
        <v>602</v>
      </c>
      <c r="D46" s="29"/>
      <c r="E46" s="29"/>
      <c r="F46" s="29"/>
      <c r="G46" s="29"/>
      <c r="H46" s="29"/>
      <c r="I46" s="29"/>
      <c r="J46" s="29"/>
      <c r="K46" s="29"/>
      <c r="L46" s="29"/>
      <c r="M46" s="29"/>
      <c r="N46" s="29"/>
      <c r="O46" s="29"/>
      <c r="P46" s="29"/>
      <c r="Q46" s="29"/>
      <c r="R46" s="29"/>
      <c r="S46" s="29"/>
      <c r="T46" s="29"/>
      <c r="U46" s="29"/>
      <c r="V46" s="29"/>
      <c r="W46" s="29"/>
      <c r="X46" s="29"/>
      <c r="Y46" s="29"/>
      <c r="Z46" s="29"/>
      <c r="AA46" s="29"/>
      <c r="AB46" s="29"/>
    </row>
    <row r="47" ht="28" customHeight="1" spans="1:28" x14ac:dyDescent="0.25">
      <c r="A47" s="73">
        <v>15</v>
      </c>
      <c r="B47" s="43" t="s">
        <v>557</v>
      </c>
      <c r="C47" s="29" t="s">
        <v>603</v>
      </c>
      <c r="D47" s="29"/>
      <c r="E47" s="29"/>
      <c r="F47" s="29"/>
      <c r="G47" s="29"/>
      <c r="H47" s="29"/>
      <c r="I47" s="29"/>
      <c r="J47" s="29"/>
      <c r="K47" s="29"/>
      <c r="L47" s="29"/>
      <c r="M47" s="29"/>
      <c r="N47" s="29"/>
      <c r="O47" s="29"/>
      <c r="P47" s="29"/>
      <c r="Q47" s="29"/>
      <c r="R47" s="29"/>
      <c r="S47" s="29"/>
      <c r="T47" s="29"/>
      <c r="U47" s="29"/>
      <c r="V47" s="29"/>
      <c r="W47" s="29"/>
      <c r="X47" s="29"/>
      <c r="Y47" s="29"/>
      <c r="Z47" s="29"/>
      <c r="AA47" s="29"/>
      <c r="AB47" s="29"/>
    </row>
    <row r="48" ht="28" customHeight="1" spans="1:28" x14ac:dyDescent="0.25">
      <c r="A48" s="73">
        <v>16</v>
      </c>
      <c r="B48" s="43" t="s">
        <v>559</v>
      </c>
      <c r="C48" s="29" t="s">
        <v>604</v>
      </c>
      <c r="D48" s="29"/>
      <c r="E48" s="29"/>
      <c r="F48" s="29"/>
      <c r="G48" s="29"/>
      <c r="H48" s="29"/>
      <c r="I48" s="29"/>
      <c r="J48" s="29"/>
      <c r="K48" s="29"/>
      <c r="L48" s="29"/>
      <c r="M48" s="29"/>
      <c r="N48" s="29"/>
      <c r="O48" s="29"/>
      <c r="P48" s="29"/>
      <c r="Q48" s="29"/>
      <c r="R48" s="29"/>
      <c r="S48" s="29"/>
      <c r="T48" s="29"/>
      <c r="U48" s="29"/>
      <c r="V48" s="29"/>
      <c r="W48" s="29"/>
      <c r="X48" s="29"/>
      <c r="Y48" s="29"/>
      <c r="Z48" s="29"/>
      <c r="AA48" s="29"/>
      <c r="AB48" s="29"/>
    </row>
    <row r="49" ht="28" customHeight="1" spans="1:28" x14ac:dyDescent="0.25">
      <c r="A49" s="73">
        <v>17</v>
      </c>
      <c r="B49" s="43" t="s">
        <v>562</v>
      </c>
      <c r="C49" s="29" t="s">
        <v>605</v>
      </c>
      <c r="D49" s="29"/>
      <c r="E49" s="29"/>
      <c r="F49" s="29"/>
      <c r="G49" s="29"/>
      <c r="H49" s="29"/>
      <c r="I49" s="29"/>
      <c r="J49" s="29"/>
      <c r="K49" s="29"/>
      <c r="L49" s="29"/>
      <c r="M49" s="29"/>
      <c r="N49" s="29"/>
      <c r="O49" s="29"/>
      <c r="P49" s="29"/>
      <c r="Q49" s="29"/>
      <c r="R49" s="29"/>
      <c r="S49" s="29"/>
      <c r="T49" s="29"/>
      <c r="U49" s="29"/>
      <c r="V49" s="29"/>
      <c r="W49" s="29"/>
      <c r="X49" s="29"/>
      <c r="Y49" s="29"/>
      <c r="Z49" s="29"/>
      <c r="AA49" s="29"/>
      <c r="AB49" s="29"/>
    </row>
    <row r="50" ht="40.5" customHeight="1" spans="1:28" x14ac:dyDescent="0.25">
      <c r="A50" s="73">
        <v>18</v>
      </c>
      <c r="B50" s="43" t="s">
        <v>565</v>
      </c>
      <c r="C50" s="29" t="s">
        <v>606</v>
      </c>
      <c r="D50" s="29"/>
      <c r="E50" s="29"/>
      <c r="F50" s="29"/>
      <c r="G50" s="29"/>
      <c r="H50" s="29"/>
      <c r="I50" s="29"/>
      <c r="J50" s="29"/>
      <c r="K50" s="29"/>
      <c r="L50" s="29"/>
      <c r="M50" s="29"/>
      <c r="N50" s="29"/>
      <c r="O50" s="29"/>
      <c r="P50" s="29"/>
      <c r="Q50" s="29"/>
      <c r="R50" s="29"/>
      <c r="S50" s="29"/>
      <c r="T50" s="29"/>
      <c r="U50" s="29"/>
      <c r="V50" s="29"/>
      <c r="W50" s="29"/>
      <c r="X50" s="29"/>
      <c r="Y50" s="29"/>
      <c r="Z50" s="29"/>
      <c r="AA50" s="29"/>
      <c r="AB50" s="29"/>
    </row>
    <row r="51" ht="40.5" customHeight="1" spans="1:28" x14ac:dyDescent="0.25">
      <c r="A51" s="73">
        <v>19</v>
      </c>
      <c r="B51" s="43" t="s">
        <v>568</v>
      </c>
      <c r="C51" s="29" t="s">
        <v>607</v>
      </c>
      <c r="D51" s="29"/>
      <c r="E51" s="29"/>
      <c r="F51" s="29"/>
      <c r="G51" s="29"/>
      <c r="H51" s="29"/>
      <c r="I51" s="29"/>
      <c r="J51" s="29"/>
      <c r="K51" s="29"/>
      <c r="L51" s="29"/>
      <c r="M51" s="29"/>
      <c r="N51" s="29"/>
      <c r="O51" s="29"/>
      <c r="P51" s="29"/>
      <c r="Q51" s="29"/>
      <c r="R51" s="29"/>
      <c r="S51" s="29"/>
      <c r="T51" s="29"/>
      <c r="U51" s="29"/>
      <c r="V51" s="29"/>
      <c r="W51" s="29"/>
      <c r="X51" s="29"/>
      <c r="Y51" s="29"/>
      <c r="Z51" s="29"/>
      <c r="AA51" s="29"/>
      <c r="AB51" s="29"/>
    </row>
    <row r="52" ht="28" customHeight="1" spans="1:28" x14ac:dyDescent="0.25">
      <c r="A52" s="73">
        <v>20</v>
      </c>
      <c r="B52" s="43" t="s">
        <v>571</v>
      </c>
      <c r="C52" s="29" t="s">
        <v>608</v>
      </c>
      <c r="D52" s="29"/>
      <c r="E52" s="29"/>
      <c r="F52" s="29"/>
      <c r="G52" s="29"/>
      <c r="H52" s="29"/>
      <c r="I52" s="29"/>
      <c r="J52" s="29"/>
      <c r="K52" s="29"/>
      <c r="L52" s="29"/>
      <c r="M52" s="29"/>
      <c r="N52" s="29"/>
      <c r="O52" s="29"/>
      <c r="P52" s="29"/>
      <c r="Q52" s="29"/>
      <c r="R52" s="29"/>
      <c r="S52" s="29"/>
      <c r="T52" s="29"/>
      <c r="U52" s="29"/>
      <c r="V52" s="29"/>
      <c r="W52" s="29"/>
      <c r="X52" s="29"/>
      <c r="Y52" s="29"/>
      <c r="Z52" s="29"/>
      <c r="AA52" s="29"/>
      <c r="AB52" s="29"/>
    </row>
    <row r="53" ht="15.5" customHeight="1" spans="1:28" x14ac:dyDescent="0.25">
      <c r="A53" s="73">
        <v>21</v>
      </c>
      <c r="B53" s="43" t="s">
        <v>574</v>
      </c>
      <c r="C53" s="29" t="s">
        <v>609</v>
      </c>
      <c r="D53" s="29"/>
      <c r="E53" s="29"/>
      <c r="F53" s="29"/>
      <c r="G53" s="29"/>
      <c r="H53" s="29"/>
      <c r="I53" s="29"/>
      <c r="J53" s="29"/>
      <c r="K53" s="29"/>
      <c r="L53" s="29"/>
      <c r="M53" s="29"/>
      <c r="N53" s="29"/>
      <c r="O53" s="29"/>
      <c r="P53" s="29"/>
      <c r="Q53" s="29"/>
      <c r="R53" s="29"/>
      <c r="S53" s="29"/>
      <c r="T53" s="29"/>
      <c r="U53" s="29"/>
      <c r="V53" s="29"/>
      <c r="W53" s="29"/>
      <c r="X53" s="29"/>
      <c r="Y53" s="29"/>
      <c r="Z53" s="29"/>
      <c r="AA53" s="29"/>
      <c r="AB53" s="29"/>
    </row>
    <row r="54" ht="40.5" customHeight="1" spans="1:28" x14ac:dyDescent="0.25">
      <c r="A54" s="73">
        <v>22</v>
      </c>
      <c r="B54" s="43" t="s">
        <v>577</v>
      </c>
      <c r="C54" s="29" t="s">
        <v>610</v>
      </c>
      <c r="D54" s="29"/>
      <c r="E54" s="29"/>
      <c r="F54" s="29"/>
      <c r="G54" s="29"/>
      <c r="H54" s="29"/>
      <c r="I54" s="29"/>
      <c r="J54" s="29"/>
      <c r="K54" s="29"/>
      <c r="L54" s="29"/>
      <c r="M54" s="29"/>
      <c r="N54" s="29"/>
      <c r="O54" s="29"/>
      <c r="P54" s="29"/>
      <c r="Q54" s="29"/>
      <c r="R54" s="29"/>
      <c r="S54" s="29"/>
      <c r="T54" s="29"/>
      <c r="U54" s="29"/>
      <c r="V54" s="29"/>
      <c r="W54" s="29"/>
      <c r="X54" s="29"/>
      <c r="Y54" s="29"/>
      <c r="Z54" s="29"/>
      <c r="AA54" s="29"/>
      <c r="AB54" s="29"/>
    </row>
    <row r="55" ht="28" customHeight="1" spans="1:28" x14ac:dyDescent="0.25">
      <c r="A55" s="73">
        <v>23</v>
      </c>
      <c r="B55" s="43" t="s">
        <v>579</v>
      </c>
      <c r="C55" s="29" t="s">
        <v>611</v>
      </c>
      <c r="D55" s="29"/>
      <c r="E55" s="29"/>
      <c r="F55" s="29"/>
      <c r="G55" s="29"/>
      <c r="H55" s="29"/>
      <c r="I55" s="29"/>
      <c r="J55" s="29"/>
      <c r="K55" s="29"/>
      <c r="L55" s="29"/>
      <c r="M55" s="29"/>
      <c r="N55" s="29"/>
      <c r="O55" s="29"/>
      <c r="P55" s="29"/>
      <c r="Q55" s="29"/>
      <c r="R55" s="29"/>
      <c r="S55" s="29"/>
      <c r="T55" s="29"/>
      <c r="U55" s="29"/>
      <c r="V55" s="29"/>
      <c r="W55" s="29"/>
      <c r="X55" s="29"/>
      <c r="Y55" s="29"/>
      <c r="Z55" s="29"/>
      <c r="AA55" s="29"/>
      <c r="AB55" s="29"/>
    </row>
    <row r="56" ht="15.5" customHeight="1" spans="1:28" x14ac:dyDescent="0.25">
      <c r="A56" s="73">
        <v>24</v>
      </c>
      <c r="B56" s="43" t="s">
        <v>582</v>
      </c>
      <c r="C56" s="29" t="s">
        <v>612</v>
      </c>
      <c r="D56" s="29"/>
      <c r="E56" s="29"/>
      <c r="F56" s="29"/>
      <c r="G56" s="29"/>
      <c r="H56" s="29"/>
      <c r="I56" s="29"/>
      <c r="J56" s="29"/>
      <c r="K56" s="29"/>
      <c r="L56" s="29"/>
      <c r="M56" s="29"/>
      <c r="N56" s="29"/>
      <c r="O56" s="29"/>
      <c r="P56" s="29"/>
      <c r="Q56" s="29"/>
      <c r="R56" s="29"/>
      <c r="S56" s="29"/>
      <c r="T56" s="29"/>
      <c r="U56" s="29"/>
      <c r="V56" s="29"/>
      <c r="W56" s="29"/>
      <c r="X56" s="29"/>
      <c r="Y56" s="29"/>
      <c r="Z56" s="29"/>
      <c r="AA56" s="29"/>
      <c r="AB56" s="29"/>
    </row>
  </sheetData>
  <mergeCells count="25">
    <mergeCell ref="C32:AB32"/>
    <mergeCell ref="C33:AB33"/>
    <mergeCell ref="C34:AB34"/>
    <mergeCell ref="C35:AB35"/>
    <mergeCell ref="C36:AB36"/>
    <mergeCell ref="C37:AB37"/>
    <mergeCell ref="C38:AB38"/>
    <mergeCell ref="C39:AB39"/>
    <mergeCell ref="C40:AB40"/>
    <mergeCell ref="C41:AB41"/>
    <mergeCell ref="C42:AB42"/>
    <mergeCell ref="C43:AB43"/>
    <mergeCell ref="C44:AB44"/>
    <mergeCell ref="C45:AB45"/>
    <mergeCell ref="C46:AB46"/>
    <mergeCell ref="C47:AB47"/>
    <mergeCell ref="C48:AB48"/>
    <mergeCell ref="C49:AB49"/>
    <mergeCell ref="C50:AB50"/>
    <mergeCell ref="C51:AB51"/>
    <mergeCell ref="C52:AB52"/>
    <mergeCell ref="C53:AB53"/>
    <mergeCell ref="C54:AB54"/>
    <mergeCell ref="C55:AB55"/>
    <mergeCell ref="C56:AB56"/>
  </mergeCells>
  <pageMargins left="0.45" right="0.45" top="0.7" bottom="0.6" header="0.3" footer="0.3"/>
  <pageSetup paperSize="9" orientation="landscape" horizontalDpi="4294967295" verticalDpi="4294967295" scale="100" fitToWidth="1" fitToHeight="0"/>
  <headerFooter>
    <oddHeader>&amp;L&amp;"Arial"&amp;8Advanced Energy Audit · Demo Foods (Pty) Ltd (fictional)&amp;R&amp;"Arial"&amp;8&amp;A</oddHeader>
    <oddFooter>&amp;L&amp;"Arial"&amp;8Thabiso Kali, Certified Energy Manager · Fictional demonstration&amp;R&amp;"Arial"&amp;8Page &amp;P of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A4C9C"/>
    <pageSetUpPr fitToPage="1"/>
  </sheetPr>
  <dimension ref="A1:X39"/>
  <sheetViews>
    <sheetView workbookViewId="0" showGridLines="0">
      <pane xSplit="3" ySplit="5" topLeftCell="D6" activePane="bottomRight" state="frozen"/>
      <selection pane="bottomRight"/>
    </sheetView>
  </sheetViews>
  <sheetFormatPr defaultRowHeight="15" outlineLevelRow="0" outlineLevelCol="0" x14ac:dyDescent="55"/>
  <cols>
    <col min="1" max="1" width="5" customWidth="1"/>
    <col min="2" max="2" width="44" customWidth="1"/>
    <col min="4" max="24" width="13" customWidth="1"/>
  </cols>
  <sheetData>
    <row r="1" ht="26" customHeight="1" spans="1:1" x14ac:dyDescent="0.25">
      <c r="A1" s="31" t="s">
        <v>613</v>
      </c>
    </row>
    <row r="2" spans="1:1" x14ac:dyDescent="0.25">
      <c r="A2" s="32" t="s">
        <v>614</v>
      </c>
    </row>
    <row r="3" spans="1:1" x14ac:dyDescent="0.25">
      <c r="A3" s="33" t="s">
        <v>91</v>
      </c>
    </row>
    <row r="5" ht="20" customHeight="1" spans="1:24" x14ac:dyDescent="0.25">
      <c r="A5" s="15" t="s">
        <v>486</v>
      </c>
      <c r="B5" s="16" t="s">
        <v>487</v>
      </c>
      <c r="C5" s="16" t="s">
        <v>615</v>
      </c>
      <c r="D5" s="78">
        <v>0</v>
      </c>
      <c r="E5" s="78">
        <v>1</v>
      </c>
      <c r="F5" s="78">
        <v>2</v>
      </c>
      <c r="G5" s="78">
        <v>3</v>
      </c>
      <c r="H5" s="78">
        <v>4</v>
      </c>
      <c r="I5" s="78">
        <v>5</v>
      </c>
      <c r="J5" s="78">
        <v>6</v>
      </c>
      <c r="K5" s="78">
        <v>7</v>
      </c>
      <c r="L5" s="78">
        <v>8</v>
      </c>
      <c r="M5" s="78">
        <v>9</v>
      </c>
      <c r="N5" s="78">
        <v>10</v>
      </c>
      <c r="O5" s="78">
        <v>11</v>
      </c>
      <c r="P5" s="78">
        <v>12</v>
      </c>
      <c r="Q5" s="78">
        <v>13</v>
      </c>
      <c r="R5" s="78">
        <v>14</v>
      </c>
      <c r="S5" s="78">
        <v>15</v>
      </c>
      <c r="T5" s="78">
        <v>16</v>
      </c>
      <c r="U5" s="78">
        <v>17</v>
      </c>
      <c r="V5" s="78">
        <v>18</v>
      </c>
      <c r="W5" s="78">
        <v>19</v>
      </c>
      <c r="X5" s="78">
        <v>20</v>
      </c>
    </row>
    <row r="6" spans="2:24" x14ac:dyDescent="0.25">
      <c r="B6" s="7" t="s">
        <v>616</v>
      </c>
      <c r="E6" s="48">
        <f>(1+Escalation)^(E5-1)</f>
        <v>1</v>
      </c>
      <c r="F6" s="48">
        <f>(1+Escalation)^(F5-1)</f>
        <v>1.08</v>
      </c>
      <c r="G6" s="48">
        <f>(1+Escalation)^(G5-1)</f>
        <v>1.1664</v>
      </c>
      <c r="H6" s="48">
        <f>(1+Escalation)^(H5-1)</f>
        <v>1.2597120000000002</v>
      </c>
      <c r="I6" s="48">
        <f>(1+Escalation)^(I5-1)</f>
        <v>1.3604889600000003</v>
      </c>
      <c r="J6" s="48">
        <f>(1+Escalation)^(J5-1)</f>
        <v>1.4693280768000005</v>
      </c>
      <c r="K6" s="48">
        <f>(1+Escalation)^(K5-1)</f>
        <v>1.5868743229440005</v>
      </c>
      <c r="L6" s="48">
        <f>(1+Escalation)^(L5-1)</f>
        <v>1.7138242687795209</v>
      </c>
      <c r="M6" s="48">
        <f>(1+Escalation)^(M5-1)</f>
        <v>1.8509302102818825</v>
      </c>
      <c r="N6" s="48">
        <f>(1+Escalation)^(N5-1)</f>
        <v>1.9990046271044333</v>
      </c>
      <c r="O6" s="48">
        <f>(1+Escalation)^(O5-1)</f>
        <v>2.158924997272788</v>
      </c>
      <c r="P6" s="48">
        <f>(1+Escalation)^(P5-1)</f>
        <v>2.331638997054611</v>
      </c>
      <c r="Q6" s="48">
        <f>(1+Escalation)^(Q5-1)</f>
        <v>2.5181701168189803</v>
      </c>
      <c r="R6" s="48">
        <f>(1+Escalation)^(R5-1)</f>
        <v>2.719623726164499</v>
      </c>
      <c r="S6" s="48">
        <f>(1+Escalation)^(S5-1)</f>
        <v>2.937193624257659</v>
      </c>
      <c r="T6" s="48">
        <f>(1+Escalation)^(T5-1)</f>
        <v>3.172169114198272</v>
      </c>
      <c r="U6" s="48">
        <f>(1+Escalation)^(U5-1)</f>
        <v>3.425942643334134</v>
      </c>
      <c r="V6" s="48">
        <f>(1+Escalation)^(V5-1)</f>
        <v>3.700018054800865</v>
      </c>
      <c r="W6" s="48">
        <f>(1+Escalation)^(W5-1)</f>
        <v>3.9960194991849343</v>
      </c>
      <c r="X6" s="48">
        <f>(1+Escalation)^(X5-1)</f>
        <v>4.315701059119729</v>
      </c>
    </row>
    <row r="7" spans="2:24" x14ac:dyDescent="0.25">
      <c r="B7" s="7" t="s">
        <v>617</v>
      </c>
      <c r="D7" s="48">
        <f>1/(1+DiscountRate)^D5</f>
        <v>1</v>
      </c>
      <c r="E7" s="48">
        <f>1/(1+DiscountRate)^E5</f>
        <v>0.8928571428571428</v>
      </c>
      <c r="F7" s="48">
        <f>1/(1+DiscountRate)^F5</f>
        <v>0.7971938775510202</v>
      </c>
      <c r="G7" s="48">
        <f>1/(1+DiscountRate)^G5</f>
        <v>0.7117802478134109</v>
      </c>
      <c r="H7" s="48">
        <f>1/(1+DiscountRate)^H5</f>
        <v>0.6355180784048311</v>
      </c>
      <c r="I7" s="48">
        <f>1/(1+DiscountRate)^I5</f>
        <v>0.5674268557185991</v>
      </c>
      <c r="J7" s="48">
        <f>1/(1+DiscountRate)^J5</f>
        <v>0.5066311211773206</v>
      </c>
      <c r="K7" s="48">
        <f>1/(1+DiscountRate)^K5</f>
        <v>0.4523492153368934</v>
      </c>
      <c r="L7" s="48">
        <f>1/(1+DiscountRate)^L5</f>
        <v>0.40388322797936904</v>
      </c>
      <c r="M7" s="48">
        <f>1/(1+DiscountRate)^M5</f>
        <v>0.36061002498157946</v>
      </c>
      <c r="N7" s="48">
        <f>1/(1+DiscountRate)^N5</f>
        <v>0.32197323659069593</v>
      </c>
      <c r="O7" s="48">
        <f>1/(1+DiscountRate)^O5</f>
        <v>0.2874761040988356</v>
      </c>
      <c r="P7" s="48">
        <f>1/(1+DiscountRate)^P5</f>
        <v>0.2566750929453889</v>
      </c>
      <c r="Q7" s="48">
        <f>1/(1+DiscountRate)^Q5</f>
        <v>0.2291741901298115</v>
      </c>
      <c r="R7" s="48">
        <f>1/(1+DiscountRate)^R5</f>
        <v>0.20461981261590312</v>
      </c>
      <c r="S7" s="48">
        <f>1/(1+DiscountRate)^S5</f>
        <v>0.1826962612641992</v>
      </c>
      <c r="T7" s="48">
        <f>1/(1+DiscountRate)^T5</f>
        <v>0.16312166184303498</v>
      </c>
      <c r="U7" s="48">
        <f>1/(1+DiscountRate)^U5</f>
        <v>0.1456443409312812</v>
      </c>
      <c r="V7" s="48">
        <f>1/(1+DiscountRate)^V5</f>
        <v>0.13003959011721536</v>
      </c>
      <c r="W7" s="48">
        <f>1/(1+DiscountRate)^W5</f>
        <v>0.11610677689037084</v>
      </c>
      <c r="X7" s="48">
        <f>1/(1+DiscountRate)^X5</f>
        <v>0.10366676508068824</v>
      </c>
    </row>
    <row r="9" spans="1:24" x14ac:dyDescent="0.25">
      <c r="A9" s="73">
        <v>1</v>
      </c>
      <c r="B9" s="7" t="s">
        <v>513</v>
      </c>
      <c r="C9" s="35">
        <f>Portfolio!$D$23</f>
        <v>5</v>
      </c>
      <c r="D9" s="50">
        <f>-Measures!$T$6</f>
        <v>-15000</v>
      </c>
      <c r="E9" s="50">
        <f>IF(E$5&lt;=$C9,Measures!$Q$6*(1-Measures!$S$6)^(E$5-1)*E$6-Measures!$V$6*E$6,0)</f>
        <v>109789.32135274335</v>
      </c>
      <c r="F9" s="50">
        <f>IF(F$5&lt;=$C9,Measures!$Q$6*(1-Measures!$S$6)^(F$5-1)*F$6-Measures!$V$6*F$6,0)</f>
        <v>118572.46706096284</v>
      </c>
      <c r="G9" s="50">
        <f>IF(G$5&lt;=$C9,Measures!$Q$6*(1-Measures!$S$6)^(G$5-1)*G$6-Measures!$V$6*G$6,0)</f>
        <v>128058.26442583986</v>
      </c>
      <c r="H9" s="50">
        <f>IF(H$5&lt;=$C9,Measures!$Q$6*(1-Measures!$S$6)^(H$5-1)*H$6-Measures!$V$6*H$6,0)</f>
        <v>138302.92557990705</v>
      </c>
      <c r="I9" s="50">
        <f>IF(I$5&lt;=$C9,Measures!$Q$6*(1-Measures!$S$6)^(I$5-1)*I$6-Measures!$V$6*I$6,0)</f>
        <v>149367.15962629963</v>
      </c>
      <c r="J9" s="50">
        <f>IF(J$5&lt;=$C9,Measures!$Q$6*(1-Measures!$S$6)^(J$5-1)*J$6-Measures!$V$6*J$6,0)</f>
        <v>0</v>
      </c>
      <c r="K9" s="50">
        <f>IF(K$5&lt;=$C9,Measures!$Q$6*(1-Measures!$S$6)^(K$5-1)*K$6-Measures!$V$6*K$6,0)</f>
        <v>0</v>
      </c>
      <c r="L9" s="50">
        <f>IF(L$5&lt;=$C9,Measures!$Q$6*(1-Measures!$S$6)^(L$5-1)*L$6-Measures!$V$6*L$6,0)</f>
        <v>0</v>
      </c>
      <c r="M9" s="50">
        <f>IF(M$5&lt;=$C9,Measures!$Q$6*(1-Measures!$S$6)^(M$5-1)*M$6-Measures!$V$6*M$6,0)</f>
        <v>0</v>
      </c>
      <c r="N9" s="50">
        <f>IF(N$5&lt;=$C9,Measures!$Q$6*(1-Measures!$S$6)^(N$5-1)*N$6-Measures!$V$6*N$6,0)</f>
        <v>0</v>
      </c>
      <c r="O9" s="50">
        <f>IF(O$5&lt;=$C9,Measures!$Q$6*(1-Measures!$S$6)^(O$5-1)*O$6-Measures!$V$6*O$6,0)</f>
        <v>0</v>
      </c>
      <c r="P9" s="50">
        <f>IF(P$5&lt;=$C9,Measures!$Q$6*(1-Measures!$S$6)^(P$5-1)*P$6-Measures!$V$6*P$6,0)</f>
        <v>0</v>
      </c>
      <c r="Q9" s="50">
        <f>IF(Q$5&lt;=$C9,Measures!$Q$6*(1-Measures!$S$6)^(Q$5-1)*Q$6-Measures!$V$6*Q$6,0)</f>
        <v>0</v>
      </c>
      <c r="R9" s="50">
        <f>IF(R$5&lt;=$C9,Measures!$Q$6*(1-Measures!$S$6)^(R$5-1)*R$6-Measures!$V$6*R$6,0)</f>
        <v>0</v>
      </c>
      <c r="S9" s="50">
        <f>IF(S$5&lt;=$C9,Measures!$Q$6*(1-Measures!$S$6)^(S$5-1)*S$6-Measures!$V$6*S$6,0)</f>
        <v>0</v>
      </c>
      <c r="T9" s="50">
        <f>IF(T$5&lt;=$C9,Measures!$Q$6*(1-Measures!$S$6)^(T$5-1)*T$6-Measures!$V$6*T$6,0)</f>
        <v>0</v>
      </c>
      <c r="U9" s="50">
        <f>IF(U$5&lt;=$C9,Measures!$Q$6*(1-Measures!$S$6)^(U$5-1)*U$6-Measures!$V$6*U$6,0)</f>
        <v>0</v>
      </c>
      <c r="V9" s="50">
        <f>IF(V$5&lt;=$C9,Measures!$Q$6*(1-Measures!$S$6)^(V$5-1)*V$6-Measures!$V$6*V$6,0)</f>
        <v>0</v>
      </c>
      <c r="W9" s="50">
        <f>IF(W$5&lt;=$C9,Measures!$Q$6*(1-Measures!$S$6)^(W$5-1)*W$6-Measures!$V$6*W$6,0)</f>
        <v>0</v>
      </c>
      <c r="X9" s="50">
        <f>IF(X$5&lt;=$C9,Measures!$Q$6*(1-Measures!$S$6)^(X$5-1)*X$6-Measures!$V$6*X$6,0)</f>
        <v>0</v>
      </c>
    </row>
    <row r="10" spans="1:24" x14ac:dyDescent="0.25">
      <c r="A10" s="73">
        <v>2</v>
      </c>
      <c r="B10" s="7" t="s">
        <v>519</v>
      </c>
      <c r="C10" s="35">
        <f>Portfolio!$D$24</f>
        <v>5</v>
      </c>
      <c r="D10" s="50">
        <f>-Measures!$T$7</f>
        <v>-45000</v>
      </c>
      <c r="E10" s="50">
        <f>IF(E$5&lt;=$C10,Measures!$Q$7*(1-Measures!$S$7)^(E$5-1)*E$6-Measures!$V$7*E$6,0)</f>
        <v>170759.25557216408</v>
      </c>
      <c r="F10" s="50">
        <f>IF(F$5&lt;=$C10,Measures!$Q$7*(1-Measures!$S$7)^(F$5-1)*F$6-Measures!$V$7*F$6,0)</f>
        <v>184419.99601793723</v>
      </c>
      <c r="G10" s="50">
        <f>IF(G$5&lt;=$C10,Measures!$Q$7*(1-Measures!$S$7)^(G$5-1)*G$6-Measures!$V$7*G$6,0)</f>
        <v>199173.5956993722</v>
      </c>
      <c r="H10" s="50">
        <f>IF(H$5&lt;=$C10,Measures!$Q$7*(1-Measures!$S$7)^(H$5-1)*H$6-Measures!$V$7*H$6,0)</f>
        <v>215107.48335532198</v>
      </c>
      <c r="I10" s="50">
        <f>IF(I$5&lt;=$C10,Measures!$Q$7*(1-Measures!$S$7)^(I$5-1)*I$6-Measures!$V$7*I$6,0)</f>
        <v>232316.0820237478</v>
      </c>
      <c r="J10" s="50">
        <f>IF(J$5&lt;=$C10,Measures!$Q$7*(1-Measures!$S$7)^(J$5-1)*J$6-Measures!$V$7*J$6,0)</f>
        <v>0</v>
      </c>
      <c r="K10" s="50">
        <f>IF(K$5&lt;=$C10,Measures!$Q$7*(1-Measures!$S$7)^(K$5-1)*K$6-Measures!$V$7*K$6,0)</f>
        <v>0</v>
      </c>
      <c r="L10" s="50">
        <f>IF(L$5&lt;=$C10,Measures!$Q$7*(1-Measures!$S$7)^(L$5-1)*L$6-Measures!$V$7*L$6,0)</f>
        <v>0</v>
      </c>
      <c r="M10" s="50">
        <f>IF(M$5&lt;=$C10,Measures!$Q$7*(1-Measures!$S$7)^(M$5-1)*M$6-Measures!$V$7*M$6,0)</f>
        <v>0</v>
      </c>
      <c r="N10" s="50">
        <f>IF(N$5&lt;=$C10,Measures!$Q$7*(1-Measures!$S$7)^(N$5-1)*N$6-Measures!$V$7*N$6,0)</f>
        <v>0</v>
      </c>
      <c r="O10" s="50">
        <f>IF(O$5&lt;=$C10,Measures!$Q$7*(1-Measures!$S$7)^(O$5-1)*O$6-Measures!$V$7*O$6,0)</f>
        <v>0</v>
      </c>
      <c r="P10" s="50">
        <f>IF(P$5&lt;=$C10,Measures!$Q$7*(1-Measures!$S$7)^(P$5-1)*P$6-Measures!$V$7*P$6,0)</f>
        <v>0</v>
      </c>
      <c r="Q10" s="50">
        <f>IF(Q$5&lt;=$C10,Measures!$Q$7*(1-Measures!$S$7)^(Q$5-1)*Q$6-Measures!$V$7*Q$6,0)</f>
        <v>0</v>
      </c>
      <c r="R10" s="50">
        <f>IF(R$5&lt;=$C10,Measures!$Q$7*(1-Measures!$S$7)^(R$5-1)*R$6-Measures!$V$7*R$6,0)</f>
        <v>0</v>
      </c>
      <c r="S10" s="50">
        <f>IF(S$5&lt;=$C10,Measures!$Q$7*(1-Measures!$S$7)^(S$5-1)*S$6-Measures!$V$7*S$6,0)</f>
        <v>0</v>
      </c>
      <c r="T10" s="50">
        <f>IF(T$5&lt;=$C10,Measures!$Q$7*(1-Measures!$S$7)^(T$5-1)*T$6-Measures!$V$7*T$6,0)</f>
        <v>0</v>
      </c>
      <c r="U10" s="50">
        <f>IF(U$5&lt;=$C10,Measures!$Q$7*(1-Measures!$S$7)^(U$5-1)*U$6-Measures!$V$7*U$6,0)</f>
        <v>0</v>
      </c>
      <c r="V10" s="50">
        <f>IF(V$5&lt;=$C10,Measures!$Q$7*(1-Measures!$S$7)^(V$5-1)*V$6-Measures!$V$7*V$6,0)</f>
        <v>0</v>
      </c>
      <c r="W10" s="50">
        <f>IF(W$5&lt;=$C10,Measures!$Q$7*(1-Measures!$S$7)^(W$5-1)*W$6-Measures!$V$7*W$6,0)</f>
        <v>0</v>
      </c>
      <c r="X10" s="50">
        <f>IF(X$5&lt;=$C10,Measures!$Q$7*(1-Measures!$S$7)^(X$5-1)*X$6-Measures!$V$7*X$6,0)</f>
        <v>0</v>
      </c>
    </row>
    <row r="11" spans="1:24" x14ac:dyDescent="0.25">
      <c r="A11" s="73">
        <v>3</v>
      </c>
      <c r="B11" s="7" t="s">
        <v>522</v>
      </c>
      <c r="C11" s="35">
        <f>Portfolio!$D$25</f>
        <v>15</v>
      </c>
      <c r="D11" s="50">
        <f>-Measures!$T$8</f>
        <v>-36000</v>
      </c>
      <c r="E11" s="50">
        <f>IF(E$5&lt;=$C11,Measures!$Q$8*(1-Measures!$S$8)^(E$5-1)*E$6-Measures!$V$8*E$6,0)</f>
        <v>21987.722925259608</v>
      </c>
      <c r="F11" s="50">
        <f>IF(F$5&lt;=$C11,Measures!$Q$8*(1-Measures!$S$8)^(F$5-1)*F$6-Measures!$V$8*F$6,0)</f>
        <v>23746.74075928038</v>
      </c>
      <c r="G11" s="50">
        <f>IF(G$5&lt;=$C11,Measures!$Q$8*(1-Measures!$S$8)^(G$5-1)*G$6-Measures!$V$8*G$6,0)</f>
        <v>25646.48002002281</v>
      </c>
      <c r="H11" s="50">
        <f>IF(H$5&lt;=$C11,Measures!$Q$8*(1-Measures!$S$8)^(H$5-1)*H$6-Measures!$V$8*H$6,0)</f>
        <v>27698.198421624635</v>
      </c>
      <c r="I11" s="50">
        <f>IF(I$5&lt;=$C11,Measures!$Q$8*(1-Measures!$S$8)^(I$5-1)*I$6-Measures!$V$8*I$6,0)</f>
        <v>29914.05429535461</v>
      </c>
      <c r="J11" s="50">
        <f>IF(J$5&lt;=$C11,Measures!$Q$8*(1-Measures!$S$8)^(J$5-1)*J$6-Measures!$V$8*J$6,0)</f>
        <v>32307.178638982983</v>
      </c>
      <c r="K11" s="50">
        <f>IF(K$5&lt;=$C11,Measures!$Q$8*(1-Measures!$S$8)^(K$5-1)*K$6-Measures!$V$8*K$6,0)</f>
        <v>34891.75293010162</v>
      </c>
      <c r="L11" s="50">
        <f>IF(L$5&lt;=$C11,Measures!$Q$8*(1-Measures!$S$8)^(L$5-1)*L$6-Measures!$V$8*L$6,0)</f>
        <v>37683.09316450976</v>
      </c>
      <c r="M11" s="50">
        <f>IF(M$5&lt;=$C11,Measures!$Q$8*(1-Measures!$S$8)^(M$5-1)*M$6-Measures!$V$8*M$6,0)</f>
        <v>40697.74061767053</v>
      </c>
      <c r="N11" s="50">
        <f>IF(N$5&lt;=$C11,Measures!$Q$8*(1-Measures!$S$8)^(N$5-1)*N$6-Measures!$V$8*N$6,0)</f>
        <v>43953.55986708418</v>
      </c>
      <c r="O11" s="50">
        <f>IF(O$5&lt;=$C11,Measures!$Q$8*(1-Measures!$S$8)^(O$5-1)*O$6-Measures!$V$8*O$6,0)</f>
        <v>47469.84465645092</v>
      </c>
      <c r="P11" s="50">
        <f>IF(P$5&lt;=$C11,Measures!$Q$8*(1-Measures!$S$8)^(P$5-1)*P$6-Measures!$V$8*P$6,0)</f>
        <v>51267.432228966994</v>
      </c>
      <c r="Q11" s="50">
        <f>IF(Q$5&lt;=$C11,Measures!$Q$8*(1-Measures!$S$8)^(Q$5-1)*Q$6-Measures!$V$8*Q$6,0)</f>
        <v>55368.82680728436</v>
      </c>
      <c r="R11" s="50">
        <f>IF(R$5&lt;=$C11,Measures!$Q$8*(1-Measures!$S$8)^(R$5-1)*R$6-Measures!$V$8*R$6,0)</f>
        <v>59798.332951867116</v>
      </c>
      <c r="S11" s="50">
        <f>IF(S$5&lt;=$C11,Measures!$Q$8*(1-Measures!$S$8)^(S$5-1)*S$6-Measures!$V$8*S$6,0)</f>
        <v>64582.19958801648</v>
      </c>
      <c r="T11" s="50">
        <f>IF(T$5&lt;=$C11,Measures!$Q$8*(1-Measures!$S$8)^(T$5-1)*T$6-Measures!$V$8*T$6,0)</f>
        <v>0</v>
      </c>
      <c r="U11" s="50">
        <f>IF(U$5&lt;=$C11,Measures!$Q$8*(1-Measures!$S$8)^(U$5-1)*U$6-Measures!$V$8*U$6,0)</f>
        <v>0</v>
      </c>
      <c r="V11" s="50">
        <f>IF(V$5&lt;=$C11,Measures!$Q$8*(1-Measures!$S$8)^(V$5-1)*V$6-Measures!$V$8*V$6,0)</f>
        <v>0</v>
      </c>
      <c r="W11" s="50">
        <f>IF(W$5&lt;=$C11,Measures!$Q$8*(1-Measures!$S$8)^(W$5-1)*W$6-Measures!$V$8*W$6,0)</f>
        <v>0</v>
      </c>
      <c r="X11" s="50">
        <f>IF(X$5&lt;=$C11,Measures!$Q$8*(1-Measures!$S$8)^(X$5-1)*X$6-Measures!$V$8*X$6,0)</f>
        <v>0</v>
      </c>
    </row>
    <row r="12" spans="1:24" x14ac:dyDescent="0.25">
      <c r="A12" s="73">
        <v>4</v>
      </c>
      <c r="B12" s="7" t="s">
        <v>525</v>
      </c>
      <c r="C12" s="35">
        <f>Portfolio!$D$26</f>
        <v>15</v>
      </c>
      <c r="D12" s="50">
        <f>-Measures!$T$9</f>
        <v>-518500</v>
      </c>
      <c r="E12" s="50">
        <f>IF(E$5&lt;=$C12,Measures!$Q$9*(1-Measures!$S$9)^(E$5-1)*E$6-Measures!$V$9*E$6,0)</f>
        <v>17328.984302658107</v>
      </c>
      <c r="F12" s="50">
        <f>IF(F$5&lt;=$C12,Measures!$Q$9*(1-Measures!$S$9)^(F$5-1)*F$6-Measures!$V$9*F$6,0)</f>
        <v>18715.30304687076</v>
      </c>
      <c r="G12" s="50">
        <f>IF(G$5&lt;=$C12,Measures!$Q$9*(1-Measures!$S$9)^(G$5-1)*G$6-Measures!$V$9*G$6,0)</f>
        <v>20212.52729062042</v>
      </c>
      <c r="H12" s="50">
        <f>IF(H$5&lt;=$C12,Measures!$Q$9*(1-Measures!$S$9)^(H$5-1)*H$6-Measures!$V$9*H$6,0)</f>
        <v>21829.529473870054</v>
      </c>
      <c r="I12" s="50">
        <f>IF(I$5&lt;=$C12,Measures!$Q$9*(1-Measures!$S$9)^(I$5-1)*I$6-Measures!$V$9*I$6,0)</f>
        <v>23575.89183177966</v>
      </c>
      <c r="J12" s="50">
        <f>IF(J$5&lt;=$C12,Measures!$Q$9*(1-Measures!$S$9)^(J$5-1)*J$6-Measures!$V$9*J$6,0)</f>
        <v>25461.963178322036</v>
      </c>
      <c r="K12" s="50">
        <f>IF(K$5&lt;=$C12,Measures!$Q$9*(1-Measures!$S$9)^(K$5-1)*K$6-Measures!$V$9*K$6,0)</f>
        <v>27498.9202325878</v>
      </c>
      <c r="L12" s="50">
        <f>IF(L$5&lt;=$C12,Measures!$Q$9*(1-Measures!$S$9)^(L$5-1)*L$6-Measures!$V$9*L$6,0)</f>
        <v>29698.833851194828</v>
      </c>
      <c r="M12" s="50">
        <f>IF(M$5&lt;=$C12,Measures!$Q$9*(1-Measures!$S$9)^(M$5-1)*M$6-Measures!$V$9*M$6,0)</f>
        <v>32074.740559290414</v>
      </c>
      <c r="N12" s="50">
        <f>IF(N$5&lt;=$C12,Measures!$Q$9*(1-Measures!$S$9)^(N$5-1)*N$6-Measures!$V$9*N$6,0)</f>
        <v>34640.719804033644</v>
      </c>
      <c r="O12" s="50">
        <f>IF(O$5&lt;=$C12,Measures!$Q$9*(1-Measures!$S$9)^(O$5-1)*O$6-Measures!$V$9*O$6,0)</f>
        <v>37411.97738835635</v>
      </c>
      <c r="P12" s="50">
        <f>IF(P$5&lt;=$C12,Measures!$Q$9*(1-Measures!$S$9)^(P$5-1)*P$6-Measures!$V$9*P$6,0)</f>
        <v>40404.93557942485</v>
      </c>
      <c r="Q12" s="50">
        <f>IF(Q$5&lt;=$C12,Measures!$Q$9*(1-Measures!$S$9)^(Q$5-1)*Q$6-Measures!$V$9*Q$6,0)</f>
        <v>43637.33042577884</v>
      </c>
      <c r="R12" s="50">
        <f>IF(R$5&lt;=$C12,Measures!$Q$9*(1-Measures!$S$9)^(R$5-1)*R$6-Measures!$V$9*R$6,0)</f>
        <v>47128.31685984116</v>
      </c>
      <c r="S12" s="50">
        <f>IF(S$5&lt;=$C12,Measures!$Q$9*(1-Measures!$S$9)^(S$5-1)*S$6-Measures!$V$9*S$6,0)</f>
        <v>50898.582208628446</v>
      </c>
      <c r="T12" s="50">
        <f>IF(T$5&lt;=$C12,Measures!$Q$9*(1-Measures!$S$9)^(T$5-1)*T$6-Measures!$V$9*T$6,0)</f>
        <v>0</v>
      </c>
      <c r="U12" s="50">
        <f>IF(U$5&lt;=$C12,Measures!$Q$9*(1-Measures!$S$9)^(U$5-1)*U$6-Measures!$V$9*U$6,0)</f>
        <v>0</v>
      </c>
      <c r="V12" s="50">
        <f>IF(V$5&lt;=$C12,Measures!$Q$9*(1-Measures!$S$9)^(V$5-1)*V$6-Measures!$V$9*V$6,0)</f>
        <v>0</v>
      </c>
      <c r="W12" s="50">
        <f>IF(W$5&lt;=$C12,Measures!$Q$9*(1-Measures!$S$9)^(W$5-1)*W$6-Measures!$V$9*W$6,0)</f>
        <v>0</v>
      </c>
      <c r="X12" s="50">
        <f>IF(X$5&lt;=$C12,Measures!$Q$9*(1-Measures!$S$9)^(X$5-1)*X$6-Measures!$V$9*X$6,0)</f>
        <v>0</v>
      </c>
    </row>
    <row r="13" spans="1:24" x14ac:dyDescent="0.25">
      <c r="A13" s="73">
        <v>5</v>
      </c>
      <c r="B13" s="7" t="s">
        <v>528</v>
      </c>
      <c r="C13" s="35">
        <f>Portfolio!$D$27</f>
        <v>10</v>
      </c>
      <c r="D13" s="50">
        <f>-Measures!$T$10</f>
        <v>-82500</v>
      </c>
      <c r="E13" s="50">
        <f>IF(E$5&lt;=$C13,Measures!$Q$10*(1-Measures!$S$10)^(E$5-1)*E$6-Measures!$V$10*E$6,0)</f>
        <v>73735.83370366867</v>
      </c>
      <c r="F13" s="50">
        <f>IF(F$5&lt;=$C13,Measures!$Q$10*(1-Measures!$S$10)^(F$5-1)*F$6-Measures!$V$10*F$6,0)</f>
        <v>79634.70039996217</v>
      </c>
      <c r="G13" s="50">
        <f>IF(G$5&lt;=$C13,Measures!$Q$10*(1-Measures!$S$10)^(G$5-1)*G$6-Measures!$V$10*G$6,0)</f>
        <v>86005.47643195915</v>
      </c>
      <c r="H13" s="50">
        <f>IF(H$5&lt;=$C13,Measures!$Q$10*(1-Measures!$S$10)^(H$5-1)*H$6-Measures!$V$10*H$6,0)</f>
        <v>92885.91454651588</v>
      </c>
      <c r="I13" s="50">
        <f>IF(I$5&lt;=$C13,Measures!$Q$10*(1-Measures!$S$10)^(I$5-1)*I$6-Measures!$V$10*I$6,0)</f>
        <v>100316.78771023717</v>
      </c>
      <c r="J13" s="50">
        <f>IF(J$5&lt;=$C13,Measures!$Q$10*(1-Measures!$S$10)^(J$5-1)*J$6-Measures!$V$10*J$6,0)</f>
        <v>108342.13072705615</v>
      </c>
      <c r="K13" s="50">
        <f>IF(K$5&lt;=$C13,Measures!$Q$10*(1-Measures!$S$10)^(K$5-1)*K$6-Measures!$V$10*K$6,0)</f>
        <v>117009.50118522065</v>
      </c>
      <c r="L13" s="50">
        <f>IF(L$5&lt;=$C13,Measures!$Q$10*(1-Measures!$S$10)^(L$5-1)*L$6-Measures!$V$10*L$6,0)</f>
        <v>126370.2612800383</v>
      </c>
      <c r="M13" s="50">
        <f>IF(M$5&lt;=$C13,Measures!$Q$10*(1-Measures!$S$10)^(M$5-1)*M$6-Measures!$V$10*M$6,0)</f>
        <v>136479.8821824414</v>
      </c>
      <c r="N13" s="50">
        <f>IF(N$5&lt;=$C13,Measures!$Q$10*(1-Measures!$S$10)^(N$5-1)*N$6-Measures!$V$10*N$6,0)</f>
        <v>147398.2727570367</v>
      </c>
      <c r="O13" s="50">
        <f>IF(O$5&lt;=$C13,Measures!$Q$10*(1-Measures!$S$10)^(O$5-1)*O$6-Measures!$V$10*O$6,0)</f>
        <v>0</v>
      </c>
      <c r="P13" s="50">
        <f>IF(P$5&lt;=$C13,Measures!$Q$10*(1-Measures!$S$10)^(P$5-1)*P$6-Measures!$V$10*P$6,0)</f>
        <v>0</v>
      </c>
      <c r="Q13" s="50">
        <f>IF(Q$5&lt;=$C13,Measures!$Q$10*(1-Measures!$S$10)^(Q$5-1)*Q$6-Measures!$V$10*Q$6,0)</f>
        <v>0</v>
      </c>
      <c r="R13" s="50">
        <f>IF(R$5&lt;=$C13,Measures!$Q$10*(1-Measures!$S$10)^(R$5-1)*R$6-Measures!$V$10*R$6,0)</f>
        <v>0</v>
      </c>
      <c r="S13" s="50">
        <f>IF(S$5&lt;=$C13,Measures!$Q$10*(1-Measures!$S$10)^(S$5-1)*S$6-Measures!$V$10*S$6,0)</f>
        <v>0</v>
      </c>
      <c r="T13" s="50">
        <f>IF(T$5&lt;=$C13,Measures!$Q$10*(1-Measures!$S$10)^(T$5-1)*T$6-Measures!$V$10*T$6,0)</f>
        <v>0</v>
      </c>
      <c r="U13" s="50">
        <f>IF(U$5&lt;=$C13,Measures!$Q$10*(1-Measures!$S$10)^(U$5-1)*U$6-Measures!$V$10*U$6,0)</f>
        <v>0</v>
      </c>
      <c r="V13" s="50">
        <f>IF(V$5&lt;=$C13,Measures!$Q$10*(1-Measures!$S$10)^(V$5-1)*V$6-Measures!$V$10*V$6,0)</f>
        <v>0</v>
      </c>
      <c r="W13" s="50">
        <f>IF(W$5&lt;=$C13,Measures!$Q$10*(1-Measures!$S$10)^(W$5-1)*W$6-Measures!$V$10*W$6,0)</f>
        <v>0</v>
      </c>
      <c r="X13" s="50">
        <f>IF(X$5&lt;=$C13,Measures!$Q$10*(1-Measures!$S$10)^(X$5-1)*X$6-Measures!$V$10*X$6,0)</f>
        <v>0</v>
      </c>
    </row>
    <row r="14" spans="1:24" x14ac:dyDescent="0.25">
      <c r="A14" s="73">
        <v>6</v>
      </c>
      <c r="B14" s="7" t="s">
        <v>531</v>
      </c>
      <c r="C14" s="35">
        <f>Portfolio!$D$28</f>
        <v>10</v>
      </c>
      <c r="D14" s="50">
        <f>-Measures!$T$11</f>
        <v>-98000</v>
      </c>
      <c r="E14" s="50">
        <f>IF(E$5&lt;=$C14,Measures!$Q$11*(1-Measures!$S$11)^(E$5-1)*E$6-Measures!$V$11*E$6,0)</f>
        <v>130618.62486306572</v>
      </c>
      <c r="F14" s="50">
        <f>IF(F$5&lt;=$C14,Measures!$Q$11*(1-Measures!$S$11)^(F$5-1)*F$6-Measures!$V$11*F$6,0)</f>
        <v>141068.114852111</v>
      </c>
      <c r="G14" s="50">
        <f>IF(G$5&lt;=$C14,Measures!$Q$11*(1-Measures!$S$11)^(G$5-1)*G$6-Measures!$V$11*G$6,0)</f>
        <v>152353.5640402799</v>
      </c>
      <c r="H14" s="50">
        <f>IF(H$5&lt;=$C14,Measures!$Q$11*(1-Measures!$S$11)^(H$5-1)*H$6-Measures!$V$11*H$6,0)</f>
        <v>164541.84916350228</v>
      </c>
      <c r="I14" s="50">
        <f>IF(I$5&lt;=$C14,Measures!$Q$11*(1-Measures!$S$11)^(I$5-1)*I$6-Measures!$V$11*I$6,0)</f>
        <v>177705.19709658247</v>
      </c>
      <c r="J14" s="50">
        <f>IF(J$5&lt;=$C14,Measures!$Q$11*(1-Measures!$S$11)^(J$5-1)*J$6-Measures!$V$11*J$6,0)</f>
        <v>191921.61286430908</v>
      </c>
      <c r="K14" s="50">
        <f>IF(K$5&lt;=$C14,Measures!$Q$11*(1-Measures!$S$11)^(K$5-1)*K$6-Measures!$V$11*K$6,0)</f>
        <v>207275.34189345382</v>
      </c>
      <c r="L14" s="50">
        <f>IF(L$5&lt;=$C14,Measures!$Q$11*(1-Measures!$S$11)^(L$5-1)*L$6-Measures!$V$11*L$6,0)</f>
        <v>223857.36924493016</v>
      </c>
      <c r="M14" s="50">
        <f>IF(M$5&lt;=$C14,Measures!$Q$11*(1-Measures!$S$11)^(M$5-1)*M$6-Measures!$V$11*M$6,0)</f>
        <v>241765.95878452456</v>
      </c>
      <c r="N14" s="50">
        <f>IF(N$5&lt;=$C14,Measures!$Q$11*(1-Measures!$S$11)^(N$5-1)*N$6-Measures!$V$11*N$6,0)</f>
        <v>261107.23548728653</v>
      </c>
      <c r="O14" s="50">
        <f>IF(O$5&lt;=$C14,Measures!$Q$11*(1-Measures!$S$11)^(O$5-1)*O$6-Measures!$V$11*O$6,0)</f>
        <v>0</v>
      </c>
      <c r="P14" s="50">
        <f>IF(P$5&lt;=$C14,Measures!$Q$11*(1-Measures!$S$11)^(P$5-1)*P$6-Measures!$V$11*P$6,0)</f>
        <v>0</v>
      </c>
      <c r="Q14" s="50">
        <f>IF(Q$5&lt;=$C14,Measures!$Q$11*(1-Measures!$S$11)^(Q$5-1)*Q$6-Measures!$V$11*Q$6,0)</f>
        <v>0</v>
      </c>
      <c r="R14" s="50">
        <f>IF(R$5&lt;=$C14,Measures!$Q$11*(1-Measures!$S$11)^(R$5-1)*R$6-Measures!$V$11*R$6,0)</f>
        <v>0</v>
      </c>
      <c r="S14" s="50">
        <f>IF(S$5&lt;=$C14,Measures!$Q$11*(1-Measures!$S$11)^(S$5-1)*S$6-Measures!$V$11*S$6,0)</f>
        <v>0</v>
      </c>
      <c r="T14" s="50">
        <f>IF(T$5&lt;=$C14,Measures!$Q$11*(1-Measures!$S$11)^(T$5-1)*T$6-Measures!$V$11*T$6,0)</f>
        <v>0</v>
      </c>
      <c r="U14" s="50">
        <f>IF(U$5&lt;=$C14,Measures!$Q$11*(1-Measures!$S$11)^(U$5-1)*U$6-Measures!$V$11*U$6,0)</f>
        <v>0</v>
      </c>
      <c r="V14" s="50">
        <f>IF(V$5&lt;=$C14,Measures!$Q$11*(1-Measures!$S$11)^(V$5-1)*V$6-Measures!$V$11*V$6,0)</f>
        <v>0</v>
      </c>
      <c r="W14" s="50">
        <f>IF(W$5&lt;=$C14,Measures!$Q$11*(1-Measures!$S$11)^(W$5-1)*W$6-Measures!$V$11*W$6,0)</f>
        <v>0</v>
      </c>
      <c r="X14" s="50">
        <f>IF(X$5&lt;=$C14,Measures!$Q$11*(1-Measures!$S$11)^(X$5-1)*X$6-Measures!$V$11*X$6,0)</f>
        <v>0</v>
      </c>
    </row>
    <row r="15" spans="1:24" x14ac:dyDescent="0.25">
      <c r="A15" s="73">
        <v>7</v>
      </c>
      <c r="B15" s="7" t="s">
        <v>534</v>
      </c>
      <c r="C15" s="35">
        <f>Portfolio!$D$29</f>
        <v>10</v>
      </c>
      <c r="D15" s="50">
        <f>-Measures!$T$12</f>
        <v>-19800</v>
      </c>
      <c r="E15" s="50">
        <f>IF(E$5&lt;=$C15,Measures!$Q$12*(1-Measures!$S$12)^(E$5-1)*E$6-Measures!$V$12*E$6,0)</f>
        <v>8552.488863128814</v>
      </c>
      <c r="F15" s="50">
        <f>IF(F$5&lt;=$C15,Measures!$Q$12*(1-Measures!$S$12)^(F$5-1)*F$6-Measures!$V$12*F$6,0)</f>
        <v>9236.68797217912</v>
      </c>
      <c r="G15" s="50">
        <f>IF(G$5&lt;=$C15,Measures!$Q$12*(1-Measures!$S$12)^(G$5-1)*G$6-Measures!$V$12*G$6,0)</f>
        <v>9975.62300995345</v>
      </c>
      <c r="H15" s="50">
        <f>IF(H$5&lt;=$C15,Measures!$Q$12*(1-Measures!$S$12)^(H$5-1)*H$6-Measures!$V$12*H$6,0)</f>
        <v>10773.672850749726</v>
      </c>
      <c r="I15" s="50">
        <f>IF(I$5&lt;=$C15,Measures!$Q$12*(1-Measures!$S$12)^(I$5-1)*I$6-Measures!$V$12*I$6,0)</f>
        <v>11635.566678809706</v>
      </c>
      <c r="J15" s="50">
        <f>IF(J$5&lt;=$C15,Measures!$Q$12*(1-Measures!$S$12)^(J$5-1)*J$6-Measures!$V$12*J$6,0)</f>
        <v>12566.412013114483</v>
      </c>
      <c r="K15" s="50">
        <f>IF(K$5&lt;=$C15,Measures!$Q$12*(1-Measures!$S$12)^(K$5-1)*K$6-Measures!$V$12*K$6,0)</f>
        <v>13571.724974163642</v>
      </c>
      <c r="L15" s="50">
        <f>IF(L$5&lt;=$C15,Measures!$Q$12*(1-Measures!$S$12)^(L$5-1)*L$6-Measures!$V$12*L$6,0)</f>
        <v>14657.462972096735</v>
      </c>
      <c r="M15" s="50">
        <f>IF(M$5&lt;=$C15,Measures!$Q$12*(1-Measures!$S$12)^(M$5-1)*M$6-Measures!$V$12*M$6,0)</f>
        <v>15830.060009864474</v>
      </c>
      <c r="N15" s="50">
        <f>IF(N$5&lt;=$C15,Measures!$Q$12*(1-Measures!$S$12)^(N$5-1)*N$6-Measures!$V$12*N$6,0)</f>
        <v>17096.464810653633</v>
      </c>
      <c r="O15" s="50">
        <f>IF(O$5&lt;=$C15,Measures!$Q$12*(1-Measures!$S$12)^(O$5-1)*O$6-Measures!$V$12*O$6,0)</f>
        <v>0</v>
      </c>
      <c r="P15" s="50">
        <f>IF(P$5&lt;=$C15,Measures!$Q$12*(1-Measures!$S$12)^(P$5-1)*P$6-Measures!$V$12*P$6,0)</f>
        <v>0</v>
      </c>
      <c r="Q15" s="50">
        <f>IF(Q$5&lt;=$C15,Measures!$Q$12*(1-Measures!$S$12)^(Q$5-1)*Q$6-Measures!$V$12*Q$6,0)</f>
        <v>0</v>
      </c>
      <c r="R15" s="50">
        <f>IF(R$5&lt;=$C15,Measures!$Q$12*(1-Measures!$S$12)^(R$5-1)*R$6-Measures!$V$12*R$6,0)</f>
        <v>0</v>
      </c>
      <c r="S15" s="50">
        <f>IF(S$5&lt;=$C15,Measures!$Q$12*(1-Measures!$S$12)^(S$5-1)*S$6-Measures!$V$12*S$6,0)</f>
        <v>0</v>
      </c>
      <c r="T15" s="50">
        <f>IF(T$5&lt;=$C15,Measures!$Q$12*(1-Measures!$S$12)^(T$5-1)*T$6-Measures!$V$12*T$6,0)</f>
        <v>0</v>
      </c>
      <c r="U15" s="50">
        <f>IF(U$5&lt;=$C15,Measures!$Q$12*(1-Measures!$S$12)^(U$5-1)*U$6-Measures!$V$12*U$6,0)</f>
        <v>0</v>
      </c>
      <c r="V15" s="50">
        <f>IF(V$5&lt;=$C15,Measures!$Q$12*(1-Measures!$S$12)^(V$5-1)*V$6-Measures!$V$12*V$6,0)</f>
        <v>0</v>
      </c>
      <c r="W15" s="50">
        <f>IF(W$5&lt;=$C15,Measures!$Q$12*(1-Measures!$S$12)^(W$5-1)*W$6-Measures!$V$12*W$6,0)</f>
        <v>0</v>
      </c>
      <c r="X15" s="50">
        <f>IF(X$5&lt;=$C15,Measures!$Q$12*(1-Measures!$S$12)^(X$5-1)*X$6-Measures!$V$12*X$6,0)</f>
        <v>0</v>
      </c>
    </row>
    <row r="16" spans="1:24" x14ac:dyDescent="0.25">
      <c r="A16" s="73">
        <v>8</v>
      </c>
      <c r="B16" s="7" t="s">
        <v>537</v>
      </c>
      <c r="C16" s="35">
        <f>Portfolio!$D$30</f>
        <v>10</v>
      </c>
      <c r="D16" s="50">
        <f>-Measures!$T$13</f>
        <v>-130000</v>
      </c>
      <c r="E16" s="50">
        <f>IF(E$5&lt;=$C16,Measures!$Q$13*(1-Measures!$S$13)^(E$5-1)*E$6-Measures!$V$13*E$6,0)</f>
        <v>136259.4487142335</v>
      </c>
      <c r="F16" s="50">
        <f>IF(F$5&lt;=$C16,Measures!$Q$13*(1-Measures!$S$13)^(F$5-1)*F$6-Measures!$V$13*F$6,0)</f>
        <v>147160.20461137217</v>
      </c>
      <c r="G16" s="50">
        <f>IF(G$5&lt;=$C16,Measures!$Q$13*(1-Measures!$S$13)^(G$5-1)*G$6-Measures!$V$13*G$6,0)</f>
        <v>158933.02098028196</v>
      </c>
      <c r="H16" s="50">
        <f>IF(H$5&lt;=$C16,Measures!$Q$13*(1-Measures!$S$13)^(H$5-1)*H$6-Measures!$V$13*H$6,0)</f>
        <v>171647.66265870453</v>
      </c>
      <c r="I16" s="50">
        <f>IF(I$5&lt;=$C16,Measures!$Q$13*(1-Measures!$S$13)^(I$5-1)*I$6-Measures!$V$13*I$6,0)</f>
        <v>185379.4756714009</v>
      </c>
      <c r="J16" s="50">
        <f>IF(J$5&lt;=$C16,Measures!$Q$13*(1-Measures!$S$13)^(J$5-1)*J$6-Measures!$V$13*J$6,0)</f>
        <v>200209.833725113</v>
      </c>
      <c r="K16" s="50">
        <f>IF(K$5&lt;=$C16,Measures!$Q$13*(1-Measures!$S$13)^(K$5-1)*K$6-Measures!$V$13*K$6,0)</f>
        <v>216226.62042312205</v>
      </c>
      <c r="L16" s="50">
        <f>IF(L$5&lt;=$C16,Measures!$Q$13*(1-Measures!$S$13)^(L$5-1)*L$6-Measures!$V$13*L$6,0)</f>
        <v>233524.75005697185</v>
      </c>
      <c r="M16" s="50">
        <f>IF(M$5&lt;=$C16,Measures!$Q$13*(1-Measures!$S$13)^(M$5-1)*M$6-Measures!$V$13*M$6,0)</f>
        <v>252206.7300615296</v>
      </c>
      <c r="N16" s="50">
        <f>IF(N$5&lt;=$C16,Measures!$Q$13*(1-Measures!$S$13)^(N$5-1)*N$6-Measures!$V$13*N$6,0)</f>
        <v>272383.26846645196</v>
      </c>
      <c r="O16" s="50">
        <f>IF(O$5&lt;=$C16,Measures!$Q$13*(1-Measures!$S$13)^(O$5-1)*O$6-Measures!$V$13*O$6,0)</f>
        <v>0</v>
      </c>
      <c r="P16" s="50">
        <f>IF(P$5&lt;=$C16,Measures!$Q$13*(1-Measures!$S$13)^(P$5-1)*P$6-Measures!$V$13*P$6,0)</f>
        <v>0</v>
      </c>
      <c r="Q16" s="50">
        <f>IF(Q$5&lt;=$C16,Measures!$Q$13*(1-Measures!$S$13)^(Q$5-1)*Q$6-Measures!$V$13*Q$6,0)</f>
        <v>0</v>
      </c>
      <c r="R16" s="50">
        <f>IF(R$5&lt;=$C16,Measures!$Q$13*(1-Measures!$S$13)^(R$5-1)*R$6-Measures!$V$13*R$6,0)</f>
        <v>0</v>
      </c>
      <c r="S16" s="50">
        <f>IF(S$5&lt;=$C16,Measures!$Q$13*(1-Measures!$S$13)^(S$5-1)*S$6-Measures!$V$13*S$6,0)</f>
        <v>0</v>
      </c>
      <c r="T16" s="50">
        <f>IF(T$5&lt;=$C16,Measures!$Q$13*(1-Measures!$S$13)^(T$5-1)*T$6-Measures!$V$13*T$6,0)</f>
        <v>0</v>
      </c>
      <c r="U16" s="50">
        <f>IF(U$5&lt;=$C16,Measures!$Q$13*(1-Measures!$S$13)^(U$5-1)*U$6-Measures!$V$13*U$6,0)</f>
        <v>0</v>
      </c>
      <c r="V16" s="50">
        <f>IF(V$5&lt;=$C16,Measures!$Q$13*(1-Measures!$S$13)^(V$5-1)*V$6-Measures!$V$13*V$6,0)</f>
        <v>0</v>
      </c>
      <c r="W16" s="50">
        <f>IF(W$5&lt;=$C16,Measures!$Q$13*(1-Measures!$S$13)^(W$5-1)*W$6-Measures!$V$13*W$6,0)</f>
        <v>0</v>
      </c>
      <c r="X16" s="50">
        <f>IF(X$5&lt;=$C16,Measures!$Q$13*(1-Measures!$S$13)^(X$5-1)*X$6-Measures!$V$13*X$6,0)</f>
        <v>0</v>
      </c>
    </row>
    <row r="17" spans="1:24" x14ac:dyDescent="0.25">
      <c r="A17" s="73">
        <v>9</v>
      </c>
      <c r="B17" s="7" t="s">
        <v>541</v>
      </c>
      <c r="C17" s="35">
        <f>Portfolio!$D$31</f>
        <v>15</v>
      </c>
      <c r="D17" s="50">
        <f>-Measures!$T$14</f>
        <v>-200297.42943548385</v>
      </c>
      <c r="E17" s="50">
        <f>IF(E$5&lt;=$C17,Measures!$Q$14*(1-Measures!$S$14)^(E$5-1)*E$6-Measures!$V$14*E$6,0)</f>
        <v>235872.7457716867</v>
      </c>
      <c r="F17" s="50">
        <f>IF(F$5&lt;=$C17,Measures!$Q$14*(1-Measures!$S$14)^(F$5-1)*F$6-Measures!$V$14*F$6,0)</f>
        <v>254742.56543342164</v>
      </c>
      <c r="G17" s="50">
        <f>IF(G$5&lt;=$C17,Measures!$Q$14*(1-Measures!$S$14)^(G$5-1)*G$6-Measures!$V$14*G$6,0)</f>
        <v>275121.9706680954</v>
      </c>
      <c r="H17" s="50">
        <f>IF(H$5&lt;=$C17,Measures!$Q$14*(1-Measures!$S$14)^(H$5-1)*H$6-Measures!$V$14*H$6,0)</f>
        <v>297131.728321543</v>
      </c>
      <c r="I17" s="50">
        <f>IF(I$5&lt;=$C17,Measures!$Q$14*(1-Measures!$S$14)^(I$5-1)*I$6-Measures!$V$14*I$6,0)</f>
        <v>320902.2665872665</v>
      </c>
      <c r="J17" s="50">
        <f>IF(J$5&lt;=$C17,Measures!$Q$14*(1-Measures!$S$14)^(J$5-1)*J$6-Measures!$V$14*J$6,0)</f>
        <v>346574.44791424787</v>
      </c>
      <c r="K17" s="50">
        <f>IF(K$5&lt;=$C17,Measures!$Q$14*(1-Measures!$S$14)^(K$5-1)*K$6-Measures!$V$14*K$6,0)</f>
        <v>374300.4037473877</v>
      </c>
      <c r="L17" s="50">
        <f>IF(L$5&lt;=$C17,Measures!$Q$14*(1-Measures!$S$14)^(L$5-1)*L$6-Measures!$V$14*L$6,0)</f>
        <v>404244.43604717875</v>
      </c>
      <c r="M17" s="50">
        <f>IF(M$5&lt;=$C17,Measures!$Q$14*(1-Measures!$S$14)^(M$5-1)*M$6-Measures!$V$14*M$6,0)</f>
        <v>436583.99093095306</v>
      </c>
      <c r="N17" s="50">
        <f>IF(N$5&lt;=$C17,Measures!$Q$14*(1-Measures!$S$14)^(N$5-1)*N$6-Measures!$V$14*N$6,0)</f>
        <v>471510.71020542935</v>
      </c>
      <c r="O17" s="50">
        <f>IF(O$5&lt;=$C17,Measures!$Q$14*(1-Measures!$S$14)^(O$5-1)*O$6-Measures!$V$14*O$6,0)</f>
        <v>509231.56702186377</v>
      </c>
      <c r="P17" s="50">
        <f>IF(P$5&lt;=$C17,Measures!$Q$14*(1-Measures!$S$14)^(P$5-1)*P$6-Measures!$V$14*P$6,0)</f>
        <v>549970.0923836129</v>
      </c>
      <c r="Q17" s="50">
        <f>IF(Q$5&lt;=$C17,Measures!$Q$14*(1-Measures!$S$14)^(Q$5-1)*Q$6-Measures!$V$14*Q$6,0)</f>
        <v>593967.699774302</v>
      </c>
      <c r="R17" s="50">
        <f>IF(R$5&lt;=$C17,Measures!$Q$14*(1-Measures!$S$14)^(R$5-1)*R$6-Measures!$V$14*R$6,0)</f>
        <v>641485.1157562461</v>
      </c>
      <c r="S17" s="50">
        <f>IF(S$5&lt;=$C17,Measures!$Q$14*(1-Measures!$S$14)^(S$5-1)*S$6-Measures!$V$14*S$6,0)</f>
        <v>692803.9250167458</v>
      </c>
      <c r="T17" s="50">
        <f>IF(T$5&lt;=$C17,Measures!$Q$14*(1-Measures!$S$14)^(T$5-1)*T$6-Measures!$V$14*T$6,0)</f>
        <v>0</v>
      </c>
      <c r="U17" s="50">
        <f>IF(U$5&lt;=$C17,Measures!$Q$14*(1-Measures!$S$14)^(U$5-1)*U$6-Measures!$V$14*U$6,0)</f>
        <v>0</v>
      </c>
      <c r="V17" s="50">
        <f>IF(V$5&lt;=$C17,Measures!$Q$14*(1-Measures!$S$14)^(V$5-1)*V$6-Measures!$V$14*V$6,0)</f>
        <v>0</v>
      </c>
      <c r="W17" s="50">
        <f>IF(W$5&lt;=$C17,Measures!$Q$14*(1-Measures!$S$14)^(W$5-1)*W$6-Measures!$V$14*W$6,0)</f>
        <v>0</v>
      </c>
      <c r="X17" s="50">
        <f>IF(X$5&lt;=$C17,Measures!$Q$14*(1-Measures!$S$14)^(X$5-1)*X$6-Measures!$V$14*X$6,0)</f>
        <v>0</v>
      </c>
    </row>
    <row r="18" spans="1:24" x14ac:dyDescent="0.25">
      <c r="A18" s="73">
        <v>10</v>
      </c>
      <c r="B18" s="7" t="s">
        <v>545</v>
      </c>
      <c r="C18" s="35">
        <f>Portfolio!$D$32</f>
        <v>10</v>
      </c>
      <c r="D18" s="50">
        <f>-Measures!$T$15</f>
        <v>-85000</v>
      </c>
      <c r="E18" s="50">
        <f>IF(E$5&lt;=$C18,Measures!$Q$15*(1-Measures!$S$15)^(E$5-1)*E$6-Measures!$V$15*E$6,0)</f>
        <v>150828.526979217</v>
      </c>
      <c r="F18" s="50">
        <f>IF(F$5&lt;=$C18,Measures!$Q$15*(1-Measures!$S$15)^(F$5-1)*F$6-Measures!$V$15*F$6,0)</f>
        <v>162894.80913755434</v>
      </c>
      <c r="G18" s="50">
        <f>IF(G$5&lt;=$C18,Measures!$Q$15*(1-Measures!$S$15)^(G$5-1)*G$6-Measures!$V$15*G$6,0)</f>
        <v>175926.3938685587</v>
      </c>
      <c r="H18" s="50">
        <f>IF(H$5&lt;=$C18,Measures!$Q$15*(1-Measures!$S$15)^(H$5-1)*H$6-Measures!$V$15*H$6,0)</f>
        <v>190000.50537804342</v>
      </c>
      <c r="I18" s="50">
        <f>IF(I$5&lt;=$C18,Measures!$Q$15*(1-Measures!$S$15)^(I$5-1)*I$6-Measures!$V$15*I$6,0)</f>
        <v>205200.54580828693</v>
      </c>
      <c r="J18" s="50">
        <f>IF(J$5&lt;=$C18,Measures!$Q$15*(1-Measures!$S$15)^(J$5-1)*J$6-Measures!$V$15*J$6,0)</f>
        <v>221616.58947294988</v>
      </c>
      <c r="K18" s="50">
        <f>IF(K$5&lt;=$C18,Measures!$Q$15*(1-Measures!$S$15)^(K$5-1)*K$6-Measures!$V$15*K$6,0)</f>
        <v>239345.91663078588</v>
      </c>
      <c r="L18" s="50">
        <f>IF(L$5&lt;=$C18,Measures!$Q$15*(1-Measures!$S$15)^(L$5-1)*L$6-Measures!$V$15*L$6,0)</f>
        <v>258493.5899612488</v>
      </c>
      <c r="M18" s="50">
        <f>IF(M$5&lt;=$C18,Measures!$Q$15*(1-Measures!$S$15)^(M$5-1)*M$6-Measures!$V$15*M$6,0)</f>
        <v>279173.0771581487</v>
      </c>
      <c r="N18" s="50">
        <f>IF(N$5&lt;=$C18,Measures!$Q$15*(1-Measures!$S$15)^(N$5-1)*N$6-Measures!$V$15*N$6,0)</f>
        <v>301506.9233308006</v>
      </c>
      <c r="O18" s="50">
        <f>IF(O$5&lt;=$C18,Measures!$Q$15*(1-Measures!$S$15)^(O$5-1)*O$6-Measures!$V$15*O$6,0)</f>
        <v>0</v>
      </c>
      <c r="P18" s="50">
        <f>IF(P$5&lt;=$C18,Measures!$Q$15*(1-Measures!$S$15)^(P$5-1)*P$6-Measures!$V$15*P$6,0)</f>
        <v>0</v>
      </c>
      <c r="Q18" s="50">
        <f>IF(Q$5&lt;=$C18,Measures!$Q$15*(1-Measures!$S$15)^(Q$5-1)*Q$6-Measures!$V$15*Q$6,0)</f>
        <v>0</v>
      </c>
      <c r="R18" s="50">
        <f>IF(R$5&lt;=$C18,Measures!$Q$15*(1-Measures!$S$15)^(R$5-1)*R$6-Measures!$V$15*R$6,0)</f>
        <v>0</v>
      </c>
      <c r="S18" s="50">
        <f>IF(S$5&lt;=$C18,Measures!$Q$15*(1-Measures!$S$15)^(S$5-1)*S$6-Measures!$V$15*S$6,0)</f>
        <v>0</v>
      </c>
      <c r="T18" s="50">
        <f>IF(T$5&lt;=$C18,Measures!$Q$15*(1-Measures!$S$15)^(T$5-1)*T$6-Measures!$V$15*T$6,0)</f>
        <v>0</v>
      </c>
      <c r="U18" s="50">
        <f>IF(U$5&lt;=$C18,Measures!$Q$15*(1-Measures!$S$15)^(U$5-1)*U$6-Measures!$V$15*U$6,0)</f>
        <v>0</v>
      </c>
      <c r="V18" s="50">
        <f>IF(V$5&lt;=$C18,Measures!$Q$15*(1-Measures!$S$15)^(V$5-1)*V$6-Measures!$V$15*V$6,0)</f>
        <v>0</v>
      </c>
      <c r="W18" s="50">
        <f>IF(W$5&lt;=$C18,Measures!$Q$15*(1-Measures!$S$15)^(W$5-1)*W$6-Measures!$V$15*W$6,0)</f>
        <v>0</v>
      </c>
      <c r="X18" s="50">
        <f>IF(X$5&lt;=$C18,Measures!$Q$15*(1-Measures!$S$15)^(X$5-1)*X$6-Measures!$V$15*X$6,0)</f>
        <v>0</v>
      </c>
    </row>
    <row r="19" spans="1:24" x14ac:dyDescent="0.25">
      <c r="A19" s="73">
        <v>11</v>
      </c>
      <c r="B19" s="7" t="s">
        <v>548</v>
      </c>
      <c r="C19" s="35">
        <f>Portfolio!$D$33</f>
        <v>5</v>
      </c>
      <c r="D19" s="50">
        <f>-Measures!$T$16</f>
        <v>-42000</v>
      </c>
      <c r="E19" s="50">
        <f>IF(E$5&lt;=$C19,Measures!$Q$16*(1-Measures!$S$16)^(E$5-1)*E$6-Measures!$V$16*E$6,0)</f>
        <v>246999.3802999338</v>
      </c>
      <c r="F19" s="50">
        <f>IF(F$5&lt;=$C19,Measures!$Q$16*(1-Measures!$S$16)^(F$5-1)*F$6-Measures!$V$16*F$6,0)</f>
        <v>266759.3307239285</v>
      </c>
      <c r="G19" s="50">
        <f>IF(G$5&lt;=$C19,Measures!$Q$16*(1-Measures!$S$16)^(G$5-1)*G$6-Measures!$V$16*G$6,0)</f>
        <v>288100.0771818428</v>
      </c>
      <c r="H19" s="50">
        <f>IF(H$5&lt;=$C19,Measures!$Q$16*(1-Measures!$S$16)^(H$5-1)*H$6-Measures!$V$16*H$6,0)</f>
        <v>311148.08335639024</v>
      </c>
      <c r="I19" s="50">
        <f>IF(I$5&lt;=$C19,Measures!$Q$16*(1-Measures!$S$16)^(I$5-1)*I$6-Measures!$V$16*I$6,0)</f>
        <v>336039.9300249015</v>
      </c>
      <c r="J19" s="50">
        <f>IF(J$5&lt;=$C19,Measures!$Q$16*(1-Measures!$S$16)^(J$5-1)*J$6-Measures!$V$16*J$6,0)</f>
        <v>0</v>
      </c>
      <c r="K19" s="50">
        <f>IF(K$5&lt;=$C19,Measures!$Q$16*(1-Measures!$S$16)^(K$5-1)*K$6-Measures!$V$16*K$6,0)</f>
        <v>0</v>
      </c>
      <c r="L19" s="50">
        <f>IF(L$5&lt;=$C19,Measures!$Q$16*(1-Measures!$S$16)^(L$5-1)*L$6-Measures!$V$16*L$6,0)</f>
        <v>0</v>
      </c>
      <c r="M19" s="50">
        <f>IF(M$5&lt;=$C19,Measures!$Q$16*(1-Measures!$S$16)^(M$5-1)*M$6-Measures!$V$16*M$6,0)</f>
        <v>0</v>
      </c>
      <c r="N19" s="50">
        <f>IF(N$5&lt;=$C19,Measures!$Q$16*(1-Measures!$S$16)^(N$5-1)*N$6-Measures!$V$16*N$6,0)</f>
        <v>0</v>
      </c>
      <c r="O19" s="50">
        <f>IF(O$5&lt;=$C19,Measures!$Q$16*(1-Measures!$S$16)^(O$5-1)*O$6-Measures!$V$16*O$6,0)</f>
        <v>0</v>
      </c>
      <c r="P19" s="50">
        <f>IF(P$5&lt;=$C19,Measures!$Q$16*(1-Measures!$S$16)^(P$5-1)*P$6-Measures!$V$16*P$6,0)</f>
        <v>0</v>
      </c>
      <c r="Q19" s="50">
        <f>IF(Q$5&lt;=$C19,Measures!$Q$16*(1-Measures!$S$16)^(Q$5-1)*Q$6-Measures!$V$16*Q$6,0)</f>
        <v>0</v>
      </c>
      <c r="R19" s="50">
        <f>IF(R$5&lt;=$C19,Measures!$Q$16*(1-Measures!$S$16)^(R$5-1)*R$6-Measures!$V$16*R$6,0)</f>
        <v>0</v>
      </c>
      <c r="S19" s="50">
        <f>IF(S$5&lt;=$C19,Measures!$Q$16*(1-Measures!$S$16)^(S$5-1)*S$6-Measures!$V$16*S$6,0)</f>
        <v>0</v>
      </c>
      <c r="T19" s="50">
        <f>IF(T$5&lt;=$C19,Measures!$Q$16*(1-Measures!$S$16)^(T$5-1)*T$6-Measures!$V$16*T$6,0)</f>
        <v>0</v>
      </c>
      <c r="U19" s="50">
        <f>IF(U$5&lt;=$C19,Measures!$Q$16*(1-Measures!$S$16)^(U$5-1)*U$6-Measures!$V$16*U$6,0)</f>
        <v>0</v>
      </c>
      <c r="V19" s="50">
        <f>IF(V$5&lt;=$C19,Measures!$Q$16*(1-Measures!$S$16)^(V$5-1)*V$6-Measures!$V$16*V$6,0)</f>
        <v>0</v>
      </c>
      <c r="W19" s="50">
        <f>IF(W$5&lt;=$C19,Measures!$Q$16*(1-Measures!$S$16)^(W$5-1)*W$6-Measures!$V$16*W$6,0)</f>
        <v>0</v>
      </c>
      <c r="X19" s="50">
        <f>IF(X$5&lt;=$C19,Measures!$Q$16*(1-Measures!$S$16)^(X$5-1)*X$6-Measures!$V$16*X$6,0)</f>
        <v>0</v>
      </c>
    </row>
    <row r="20" spans="1:24" x14ac:dyDescent="0.25">
      <c r="A20" s="73">
        <v>12</v>
      </c>
      <c r="B20" s="7" t="s">
        <v>550</v>
      </c>
      <c r="C20" s="35">
        <f>Portfolio!$D$34</f>
        <v>3</v>
      </c>
      <c r="D20" s="50">
        <f>-Measures!$T$17</f>
        <v>-7000</v>
      </c>
      <c r="E20" s="50">
        <f>IF(E$5&lt;=$C20,Measures!$Q$17*(1-Measures!$S$17)^(E$5-1)*E$6-Measures!$V$17*E$6,0)</f>
        <v>111786.40226130583</v>
      </c>
      <c r="F20" s="50">
        <f>IF(F$5&lt;=$C20,Measures!$Q$17*(1-Measures!$S$17)^(F$5-1)*F$6-Measures!$V$17*F$6,0)</f>
        <v>120729.3144422103</v>
      </c>
      <c r="G20" s="50">
        <f>IF(G$5&lt;=$C20,Measures!$Q$17*(1-Measures!$S$17)^(G$5-1)*G$6-Measures!$V$17*G$6,0)</f>
        <v>130387.65959758713</v>
      </c>
      <c r="H20" s="50">
        <f>IF(H$5&lt;=$C20,Measures!$Q$17*(1-Measures!$S$17)^(H$5-1)*H$6-Measures!$V$17*H$6,0)</f>
        <v>0</v>
      </c>
      <c r="I20" s="50">
        <f>IF(I$5&lt;=$C20,Measures!$Q$17*(1-Measures!$S$17)^(I$5-1)*I$6-Measures!$V$17*I$6,0)</f>
        <v>0</v>
      </c>
      <c r="J20" s="50">
        <f>IF(J$5&lt;=$C20,Measures!$Q$17*(1-Measures!$S$17)^(J$5-1)*J$6-Measures!$V$17*J$6,0)</f>
        <v>0</v>
      </c>
      <c r="K20" s="50">
        <f>IF(K$5&lt;=$C20,Measures!$Q$17*(1-Measures!$S$17)^(K$5-1)*K$6-Measures!$V$17*K$6,0)</f>
        <v>0</v>
      </c>
      <c r="L20" s="50">
        <f>IF(L$5&lt;=$C20,Measures!$Q$17*(1-Measures!$S$17)^(L$5-1)*L$6-Measures!$V$17*L$6,0)</f>
        <v>0</v>
      </c>
      <c r="M20" s="50">
        <f>IF(M$5&lt;=$C20,Measures!$Q$17*(1-Measures!$S$17)^(M$5-1)*M$6-Measures!$V$17*M$6,0)</f>
        <v>0</v>
      </c>
      <c r="N20" s="50">
        <f>IF(N$5&lt;=$C20,Measures!$Q$17*(1-Measures!$S$17)^(N$5-1)*N$6-Measures!$V$17*N$6,0)</f>
        <v>0</v>
      </c>
      <c r="O20" s="50">
        <f>IF(O$5&lt;=$C20,Measures!$Q$17*(1-Measures!$S$17)^(O$5-1)*O$6-Measures!$V$17*O$6,0)</f>
        <v>0</v>
      </c>
      <c r="P20" s="50">
        <f>IF(P$5&lt;=$C20,Measures!$Q$17*(1-Measures!$S$17)^(P$5-1)*P$6-Measures!$V$17*P$6,0)</f>
        <v>0</v>
      </c>
      <c r="Q20" s="50">
        <f>IF(Q$5&lt;=$C20,Measures!$Q$17*(1-Measures!$S$17)^(Q$5-1)*Q$6-Measures!$V$17*Q$6,0)</f>
        <v>0</v>
      </c>
      <c r="R20" s="50">
        <f>IF(R$5&lt;=$C20,Measures!$Q$17*(1-Measures!$S$17)^(R$5-1)*R$6-Measures!$V$17*R$6,0)</f>
        <v>0</v>
      </c>
      <c r="S20" s="50">
        <f>IF(S$5&lt;=$C20,Measures!$Q$17*(1-Measures!$S$17)^(S$5-1)*S$6-Measures!$V$17*S$6,0)</f>
        <v>0</v>
      </c>
      <c r="T20" s="50">
        <f>IF(T$5&lt;=$C20,Measures!$Q$17*(1-Measures!$S$17)^(T$5-1)*T$6-Measures!$V$17*T$6,0)</f>
        <v>0</v>
      </c>
      <c r="U20" s="50">
        <f>IF(U$5&lt;=$C20,Measures!$Q$17*(1-Measures!$S$17)^(U$5-1)*U$6-Measures!$V$17*U$6,0)</f>
        <v>0</v>
      </c>
      <c r="V20" s="50">
        <f>IF(V$5&lt;=$C20,Measures!$Q$17*(1-Measures!$S$17)^(V$5-1)*V$6-Measures!$V$17*V$6,0)</f>
        <v>0</v>
      </c>
      <c r="W20" s="50">
        <f>IF(W$5&lt;=$C20,Measures!$Q$17*(1-Measures!$S$17)^(W$5-1)*W$6-Measures!$V$17*W$6,0)</f>
        <v>0</v>
      </c>
      <c r="X20" s="50">
        <f>IF(X$5&lt;=$C20,Measures!$Q$17*(1-Measures!$S$17)^(X$5-1)*X$6-Measures!$V$17*X$6,0)</f>
        <v>0</v>
      </c>
    </row>
    <row r="21" spans="1:24" x14ac:dyDescent="0.25">
      <c r="A21" s="73">
        <v>13</v>
      </c>
      <c r="B21" s="7" t="s">
        <v>552</v>
      </c>
      <c r="C21" s="35">
        <f>Portfolio!$D$35</f>
        <v>20</v>
      </c>
      <c r="D21" s="50">
        <f>-Measures!$T$18</f>
        <v>-67200</v>
      </c>
      <c r="E21" s="50">
        <f>IF(E$5&lt;=$C21,Measures!$Q$18*(1-Measures!$S$18)^(E$5-1)*E$6-Measures!$V$18*E$6,0)</f>
        <v>338869.984154804</v>
      </c>
      <c r="F21" s="50">
        <f>IF(F$5&lt;=$C21,Measures!$Q$18*(1-Measures!$S$18)^(F$5-1)*F$6-Measures!$V$18*F$6,0)</f>
        <v>365979.58288718836</v>
      </c>
      <c r="G21" s="50">
        <f>IF(G$5&lt;=$C21,Measures!$Q$18*(1-Measures!$S$18)^(G$5-1)*G$6-Measures!$V$18*G$6,0)</f>
        <v>395257.94951816346</v>
      </c>
      <c r="H21" s="50">
        <f>IF(H$5&lt;=$C21,Measures!$Q$18*(1-Measures!$S$18)^(H$5-1)*H$6-Measures!$V$18*H$6,0)</f>
        <v>426878.58547961654</v>
      </c>
      <c r="I21" s="50">
        <f>IF(I$5&lt;=$C21,Measures!$Q$18*(1-Measures!$S$18)^(I$5-1)*I$6-Measures!$V$18*I$6,0)</f>
        <v>461028.8723179859</v>
      </c>
      <c r="J21" s="50">
        <f>IF(J$5&lt;=$C21,Measures!$Q$18*(1-Measures!$S$18)^(J$5-1)*J$6-Measures!$V$18*J$6,0)</f>
        <v>497911.18210342486</v>
      </c>
      <c r="K21" s="50">
        <f>IF(K$5&lt;=$C21,Measures!$Q$18*(1-Measures!$S$18)^(K$5-1)*K$6-Measures!$V$18*K$6,0)</f>
        <v>537744.0766716988</v>
      </c>
      <c r="L21" s="50">
        <f>IF(L$5&lt;=$C21,Measures!$Q$18*(1-Measures!$S$18)^(L$5-1)*L$6-Measures!$V$18*L$6,0)</f>
        <v>580763.6028054348</v>
      </c>
      <c r="M21" s="50">
        <f>IF(M$5&lt;=$C21,Measures!$Q$18*(1-Measures!$S$18)^(M$5-1)*M$6-Measures!$V$18*M$6,0)</f>
        <v>627224.6910298696</v>
      </c>
      <c r="N21" s="50">
        <f>IF(N$5&lt;=$C21,Measures!$Q$18*(1-Measures!$S$18)^(N$5-1)*N$6-Measures!$V$18*N$6,0)</f>
        <v>677402.6663122593</v>
      </c>
      <c r="O21" s="50">
        <f>IF(O$5&lt;=$C21,Measures!$Q$18*(1-Measures!$S$18)^(O$5-1)*O$6-Measures!$V$18*O$6,0)</f>
        <v>731594.87961724</v>
      </c>
      <c r="P21" s="50">
        <f>IF(P$5&lt;=$C21,Measures!$Q$18*(1-Measures!$S$18)^(P$5-1)*P$6-Measures!$V$18*P$6,0)</f>
        <v>790122.4699866192</v>
      </c>
      <c r="Q21" s="50">
        <f>IF(Q$5&lt;=$C21,Measures!$Q$18*(1-Measures!$S$18)^(Q$5-1)*Q$6-Measures!$V$18*Q$6,0)</f>
        <v>853332.2675855488</v>
      </c>
      <c r="R21" s="50">
        <f>IF(R$5&lt;=$C21,Measures!$Q$18*(1-Measures!$S$18)^(R$5-1)*R$6-Measures!$V$18*R$6,0)</f>
        <v>921598.8489923929</v>
      </c>
      <c r="S21" s="50">
        <f>IF(S$5&lt;=$C21,Measures!$Q$18*(1-Measures!$S$18)^(S$5-1)*S$6-Measures!$V$18*S$6,0)</f>
        <v>995326.7569117843</v>
      </c>
      <c r="T21" s="50">
        <f>IF(T$5&lt;=$C21,Measures!$Q$18*(1-Measures!$S$18)^(T$5-1)*T$6-Measures!$V$18*T$6,0)</f>
        <v>1074952.897464727</v>
      </c>
      <c r="U21" s="50">
        <f>IF(U$5&lt;=$C21,Measures!$Q$18*(1-Measures!$S$18)^(U$5-1)*U$6-Measures!$V$18*U$6,0)</f>
        <v>1160949.1292619053</v>
      </c>
      <c r="V21" s="50">
        <f>IF(V$5&lt;=$C21,Measures!$Q$18*(1-Measures!$S$18)^(V$5-1)*V$6-Measures!$V$18*V$6,0)</f>
        <v>1253825.059602858</v>
      </c>
      <c r="W21" s="50">
        <f>IF(W$5&lt;=$C21,Measures!$Q$18*(1-Measures!$S$18)^(W$5-1)*W$6-Measures!$V$18*W$6,0)</f>
        <v>1354131.0643710867</v>
      </c>
      <c r="X21" s="50">
        <f>IF(X$5&lt;=$C21,Measures!$Q$18*(1-Measures!$S$18)^(X$5-1)*X$6-Measures!$V$18*X$6,0)</f>
        <v>1462461.5495207736</v>
      </c>
    </row>
    <row r="22" spans="1:24" x14ac:dyDescent="0.25">
      <c r="A22" s="73">
        <v>14</v>
      </c>
      <c r="B22" s="7" t="s">
        <v>554</v>
      </c>
      <c r="C22" s="35">
        <f>Portfolio!$D$36</f>
        <v>15</v>
      </c>
      <c r="D22" s="50">
        <f>-Measures!$T$19</f>
        <v>-769780.6214583333</v>
      </c>
      <c r="E22" s="50">
        <f>IF(E$5&lt;=$C22,Measures!$Q$19*(1-Measures!$S$19)^(E$5-1)*E$6-Measures!$V$19*E$6,0)</f>
        <v>459701.989945614</v>
      </c>
      <c r="F22" s="50">
        <f>IF(F$5&lt;=$C22,Measures!$Q$19*(1-Measures!$S$19)^(F$5-1)*F$6-Measures!$V$19*F$6,0)</f>
        <v>496478.14914126316</v>
      </c>
      <c r="G22" s="50">
        <f>IF(G$5&lt;=$C22,Measures!$Q$19*(1-Measures!$S$19)^(G$5-1)*G$6-Measures!$V$19*G$6,0)</f>
        <v>536196.4010725642</v>
      </c>
      <c r="H22" s="50">
        <f>IF(H$5&lt;=$C22,Measures!$Q$19*(1-Measures!$S$19)^(H$5-1)*H$6-Measures!$V$19*H$6,0)</f>
        <v>579092.1131583694</v>
      </c>
      <c r="I22" s="50">
        <f>IF(I$5&lt;=$C22,Measures!$Q$19*(1-Measures!$S$19)^(I$5-1)*I$6-Measures!$V$19*I$6,0)</f>
        <v>625419.482211039</v>
      </c>
      <c r="J22" s="50">
        <f>IF(J$5&lt;=$C22,Measures!$Q$19*(1-Measures!$S$19)^(J$5-1)*J$6-Measures!$V$19*J$6,0)</f>
        <v>675453.0407879222</v>
      </c>
      <c r="K22" s="50">
        <f>IF(K$5&lt;=$C22,Measures!$Q$19*(1-Measures!$S$19)^(K$5-1)*K$6-Measures!$V$19*K$6,0)</f>
        <v>729489.284050956</v>
      </c>
      <c r="L22" s="50">
        <f>IF(L$5&lt;=$C22,Measures!$Q$19*(1-Measures!$S$19)^(L$5-1)*L$6-Measures!$V$19*L$6,0)</f>
        <v>787848.4267750325</v>
      </c>
      <c r="M22" s="50">
        <f>IF(M$5&lt;=$C22,Measures!$Q$19*(1-Measures!$S$19)^(M$5-1)*M$6-Measures!$V$19*M$6,0)</f>
        <v>850876.3009170352</v>
      </c>
      <c r="N22" s="50">
        <f>IF(N$5&lt;=$C22,Measures!$Q$19*(1-Measures!$S$19)^(N$5-1)*N$6-Measures!$V$19*N$6,0)</f>
        <v>918946.4049903981</v>
      </c>
      <c r="O22" s="50">
        <f>IF(O$5&lt;=$C22,Measures!$Q$19*(1-Measures!$S$19)^(O$5-1)*O$6-Measures!$V$19*O$6,0)</f>
        <v>992462.1173896301</v>
      </c>
      <c r="P22" s="50">
        <f>IF(P$5&lt;=$C22,Measures!$Q$19*(1-Measures!$S$19)^(P$5-1)*P$6-Measures!$V$19*P$6,0)</f>
        <v>1071859.0867808005</v>
      </c>
      <c r="Q22" s="50">
        <f>IF(Q$5&lt;=$C22,Measures!$Q$19*(1-Measures!$S$19)^(Q$5-1)*Q$6-Measures!$V$19*Q$6,0)</f>
        <v>1157607.8137232645</v>
      </c>
      <c r="R22" s="50">
        <f>IF(R$5&lt;=$C22,Measures!$Q$19*(1-Measures!$S$19)^(R$5-1)*R$6-Measures!$V$19*R$6,0)</f>
        <v>1250216.4388211258</v>
      </c>
      <c r="S22" s="50">
        <f>IF(S$5&lt;=$C22,Measures!$Q$19*(1-Measures!$S$19)^(S$5-1)*S$6-Measures!$V$19*S$6,0)</f>
        <v>1350233.753926816</v>
      </c>
      <c r="T22" s="50">
        <f>IF(T$5&lt;=$C22,Measures!$Q$19*(1-Measures!$S$19)^(T$5-1)*T$6-Measures!$V$19*T$6,0)</f>
        <v>0</v>
      </c>
      <c r="U22" s="50">
        <f>IF(U$5&lt;=$C22,Measures!$Q$19*(1-Measures!$S$19)^(U$5-1)*U$6-Measures!$V$19*U$6,0)</f>
        <v>0</v>
      </c>
      <c r="V22" s="50">
        <f>IF(V$5&lt;=$C22,Measures!$Q$19*(1-Measures!$S$19)^(V$5-1)*V$6-Measures!$V$19*V$6,0)</f>
        <v>0</v>
      </c>
      <c r="W22" s="50">
        <f>IF(W$5&lt;=$C22,Measures!$Q$19*(1-Measures!$S$19)^(W$5-1)*W$6-Measures!$V$19*W$6,0)</f>
        <v>0</v>
      </c>
      <c r="X22" s="50">
        <f>IF(X$5&lt;=$C22,Measures!$Q$19*(1-Measures!$S$19)^(X$5-1)*X$6-Measures!$V$19*X$6,0)</f>
        <v>0</v>
      </c>
    </row>
    <row r="23" spans="1:24" x14ac:dyDescent="0.25">
      <c r="A23" s="73">
        <v>15</v>
      </c>
      <c r="B23" s="7" t="s">
        <v>557</v>
      </c>
      <c r="C23" s="35">
        <f>Portfolio!$D$37</f>
        <v>15</v>
      </c>
      <c r="D23" s="50">
        <f>-Measures!$T$20</f>
        <v>-250000</v>
      </c>
      <c r="E23" s="50">
        <f>IF(E$5&lt;=$C23,Measures!$Q$20*(1-Measures!$S$20)^(E$5-1)*E$6-Measures!$V$20*E$6,0)</f>
        <v>100189.32416330854</v>
      </c>
      <c r="F23" s="50">
        <f>IF(F$5&lt;=$C23,Measures!$Q$20*(1-Measures!$S$20)^(F$5-1)*F$6-Measures!$V$20*F$6,0)</f>
        <v>108204.47009637323</v>
      </c>
      <c r="G23" s="50">
        <f>IF(G$5&lt;=$C23,Measures!$Q$20*(1-Measures!$S$20)^(G$5-1)*G$6-Measures!$V$20*G$6,0)</f>
        <v>116860.82770408309</v>
      </c>
      <c r="H23" s="50">
        <f>IF(H$5&lt;=$C23,Measures!$Q$20*(1-Measures!$S$20)^(H$5-1)*H$6-Measures!$V$20*H$6,0)</f>
        <v>126209.69392040974</v>
      </c>
      <c r="I23" s="50">
        <f>IF(I$5&lt;=$C23,Measures!$Q$20*(1-Measures!$S$20)^(I$5-1)*I$6-Measures!$V$20*I$6,0)</f>
        <v>136306.46943404252</v>
      </c>
      <c r="J23" s="50">
        <f>IF(J$5&lt;=$C23,Measures!$Q$20*(1-Measures!$S$20)^(J$5-1)*J$6-Measures!$V$20*J$6,0)</f>
        <v>147210.98698876594</v>
      </c>
      <c r="K23" s="50">
        <f>IF(K$5&lt;=$C23,Measures!$Q$20*(1-Measures!$S$20)^(K$5-1)*K$6-Measures!$V$20*K$6,0)</f>
        <v>158987.86594786722</v>
      </c>
      <c r="L23" s="50">
        <f>IF(L$5&lt;=$C23,Measures!$Q$20*(1-Measures!$S$20)^(L$5-1)*L$6-Measures!$V$20*L$6,0)</f>
        <v>171706.89522369663</v>
      </c>
      <c r="M23" s="50">
        <f>IF(M$5&lt;=$C23,Measures!$Q$20*(1-Measures!$S$20)^(M$5-1)*M$6-Measures!$V$20*M$6,0)</f>
        <v>185443.44684159235</v>
      </c>
      <c r="N23" s="50">
        <f>IF(N$5&lt;=$C23,Measures!$Q$20*(1-Measures!$S$20)^(N$5-1)*N$6-Measures!$V$20*N$6,0)</f>
        <v>200278.92258891976</v>
      </c>
      <c r="O23" s="50">
        <f>IF(O$5&lt;=$C23,Measures!$Q$20*(1-Measures!$S$20)^(O$5-1)*O$6-Measures!$V$20*O$6,0)</f>
        <v>216301.23639603338</v>
      </c>
      <c r="P23" s="50">
        <f>IF(P$5&lt;=$C23,Measures!$Q$20*(1-Measures!$S$20)^(P$5-1)*P$6-Measures!$V$20*P$6,0)</f>
        <v>233605.33530771604</v>
      </c>
      <c r="Q23" s="50">
        <f>IF(Q$5&lt;=$C23,Measures!$Q$20*(1-Measures!$S$20)^(Q$5-1)*Q$6-Measures!$V$20*Q$6,0)</f>
        <v>252293.76213233333</v>
      </c>
      <c r="R23" s="50">
        <f>IF(R$5&lt;=$C23,Measures!$Q$20*(1-Measures!$S$20)^(R$5-1)*R$6-Measures!$V$20*R$6,0)</f>
        <v>272477.26310292</v>
      </c>
      <c r="S23" s="50">
        <f>IF(S$5&lt;=$C23,Measures!$Q$20*(1-Measures!$S$20)^(S$5-1)*S$6-Measures!$V$20*S$6,0)</f>
        <v>294275.4441511537</v>
      </c>
      <c r="T23" s="50">
        <f>IF(T$5&lt;=$C23,Measures!$Q$20*(1-Measures!$S$20)^(T$5-1)*T$6-Measures!$V$20*T$6,0)</f>
        <v>0</v>
      </c>
      <c r="U23" s="50">
        <f>IF(U$5&lt;=$C23,Measures!$Q$20*(1-Measures!$S$20)^(U$5-1)*U$6-Measures!$V$20*U$6,0)</f>
        <v>0</v>
      </c>
      <c r="V23" s="50">
        <f>IF(V$5&lt;=$C23,Measures!$Q$20*(1-Measures!$S$20)^(V$5-1)*V$6-Measures!$V$20*V$6,0)</f>
        <v>0</v>
      </c>
      <c r="W23" s="50">
        <f>IF(W$5&lt;=$C23,Measures!$Q$20*(1-Measures!$S$20)^(W$5-1)*W$6-Measures!$V$20*W$6,0)</f>
        <v>0</v>
      </c>
      <c r="X23" s="50">
        <f>IF(X$5&lt;=$C23,Measures!$Q$20*(1-Measures!$S$20)^(X$5-1)*X$6-Measures!$V$20*X$6,0)</f>
        <v>0</v>
      </c>
    </row>
    <row r="24" spans="1:24" x14ac:dyDescent="0.25">
      <c r="A24" s="73">
        <v>16</v>
      </c>
      <c r="B24" s="7" t="s">
        <v>559</v>
      </c>
      <c r="C24" s="35">
        <f>Portfolio!$D$38</f>
        <v>20</v>
      </c>
      <c r="D24" s="50">
        <f>-Measures!$T$21</f>
        <v>-176634.91262439443</v>
      </c>
      <c r="E24" s="50">
        <f>IF(E$5&lt;=$C24,Measures!$Q$21*(1-Measures!$S$21)^(E$5-1)*E$6-Measures!$V$21*E$6,0)</f>
        <v>146639.82272049048</v>
      </c>
      <c r="F24" s="50">
        <f>IF(F$5&lt;=$C24,Measures!$Q$21*(1-Measures!$S$21)^(F$5-1)*F$6-Measures!$V$21*F$6,0)</f>
        <v>158371.00853812974</v>
      </c>
      <c r="G24" s="50">
        <f>IF(G$5&lt;=$C24,Measures!$Q$21*(1-Measures!$S$21)^(G$5-1)*G$6-Measures!$V$21*G$6,0)</f>
        <v>171040.6892211801</v>
      </c>
      <c r="H24" s="50">
        <f>IF(H$5&lt;=$C24,Measures!$Q$21*(1-Measures!$S$21)^(H$5-1)*H$6-Measures!$V$21*H$6,0)</f>
        <v>184723.94435887452</v>
      </c>
      <c r="I24" s="50">
        <f>IF(I$5&lt;=$C24,Measures!$Q$21*(1-Measures!$S$21)^(I$5-1)*I$6-Measures!$V$21*I$6,0)</f>
        <v>199501.85990758453</v>
      </c>
      <c r="J24" s="50">
        <f>IF(J$5&lt;=$C24,Measures!$Q$21*(1-Measures!$S$21)^(J$5-1)*J$6-Measures!$V$21*J$6,0)</f>
        <v>215462.0087001913</v>
      </c>
      <c r="K24" s="50">
        <f>IF(K$5&lt;=$C24,Measures!$Q$21*(1-Measures!$S$21)^(K$5-1)*K$6-Measures!$V$21*K$6,0)</f>
        <v>232698.9693962066</v>
      </c>
      <c r="L24" s="50">
        <f>IF(L$5&lt;=$C24,Measures!$Q$21*(1-Measures!$S$21)^(L$5-1)*L$6-Measures!$V$21*L$6,0)</f>
        <v>251314.88694790317</v>
      </c>
      <c r="M24" s="50">
        <f>IF(M$5&lt;=$C24,Measures!$Q$21*(1-Measures!$S$21)^(M$5-1)*M$6-Measures!$V$21*M$6,0)</f>
        <v>271420.07790373545</v>
      </c>
      <c r="N24" s="50">
        <f>IF(N$5&lt;=$C24,Measures!$Q$21*(1-Measures!$S$21)^(N$5-1)*N$6-Measures!$V$21*N$6,0)</f>
        <v>293133.6841360343</v>
      </c>
      <c r="O24" s="50">
        <f>IF(O$5&lt;=$C24,Measures!$Q$21*(1-Measures!$S$21)^(O$5-1)*O$6-Measures!$V$21*O$6,0)</f>
        <v>316584.37886691705</v>
      </c>
      <c r="P24" s="50">
        <f>IF(P$5&lt;=$C24,Measures!$Q$21*(1-Measures!$S$21)^(P$5-1)*P$6-Measures!$V$21*P$6,0)</f>
        <v>341911.1291762704</v>
      </c>
      <c r="Q24" s="50">
        <f>IF(Q$5&lt;=$C24,Measures!$Q$21*(1-Measures!$S$21)^(Q$5-1)*Q$6-Measures!$V$21*Q$6,0)</f>
        <v>369264.0195103721</v>
      </c>
      <c r="R24" s="50">
        <f>IF(R$5&lt;=$C24,Measures!$Q$21*(1-Measures!$S$21)^(R$5-1)*R$6-Measures!$V$21*R$6,0)</f>
        <v>398805.1410712019</v>
      </c>
      <c r="S24" s="50">
        <f>IF(S$5&lt;=$C24,Measures!$Q$21*(1-Measures!$S$21)^(S$5-1)*S$6-Measures!$V$21*S$6,0)</f>
        <v>430709.5523568981</v>
      </c>
      <c r="T24" s="50">
        <f>IF(T$5&lt;=$C24,Measures!$Q$21*(1-Measures!$S$21)^(T$5-1)*T$6-Measures!$V$21*T$6,0)</f>
        <v>465166.31654544995</v>
      </c>
      <c r="U24" s="50">
        <f>IF(U$5&lt;=$C24,Measures!$Q$21*(1-Measures!$S$21)^(U$5-1)*U$6-Measures!$V$21*U$6,0)</f>
        <v>502379.621869086</v>
      </c>
      <c r="V24" s="50">
        <f>IF(V$5&lt;=$C24,Measures!$Q$21*(1-Measures!$S$21)^(V$5-1)*V$6-Measures!$V$21*V$6,0)</f>
        <v>542569.9916186129</v>
      </c>
      <c r="W24" s="50">
        <f>IF(W$5&lt;=$C24,Measures!$Q$21*(1-Measures!$S$21)^(W$5-1)*W$6-Measures!$V$21*W$6,0)</f>
        <v>585975.590948102</v>
      </c>
      <c r="X24" s="50">
        <f>IF(X$5&lt;=$C24,Measures!$Q$21*(1-Measures!$S$21)^(X$5-1)*X$6-Measures!$V$21*X$6,0)</f>
        <v>632853.6382239502</v>
      </c>
    </row>
    <row r="25" spans="1:24" x14ac:dyDescent="0.25">
      <c r="A25" s="73">
        <v>17</v>
      </c>
      <c r="B25" s="7" t="s">
        <v>562</v>
      </c>
      <c r="C25" s="35">
        <f>Portfolio!$D$39</f>
        <v>5</v>
      </c>
      <c r="D25" s="50">
        <f>-Measures!$T$22</f>
        <v>-13000</v>
      </c>
      <c r="E25" s="50">
        <f>IF(E$5&lt;=$C25,Measures!$Q$22*(1-Measures!$S$22)^(E$5-1)*E$6-Measures!$V$22*E$6,0)</f>
        <v>282781.71796259074</v>
      </c>
      <c r="F25" s="50">
        <f>IF(F$5&lt;=$C25,Measures!$Q$22*(1-Measures!$S$22)^(F$5-1)*F$6-Measures!$V$22*F$6,0)</f>
        <v>305404.25539959804</v>
      </c>
      <c r="G25" s="50">
        <f>IF(G$5&lt;=$C25,Measures!$Q$22*(1-Measures!$S$22)^(G$5-1)*G$6-Measures!$V$22*G$6,0)</f>
        <v>329836.59583156585</v>
      </c>
      <c r="H25" s="50">
        <f>IF(H$5&lt;=$C25,Measures!$Q$22*(1-Measures!$S$22)^(H$5-1)*H$6-Measures!$V$22*H$6,0)</f>
        <v>356223.52349809115</v>
      </c>
      <c r="I25" s="50">
        <f>IF(I$5&lt;=$C25,Measures!$Q$22*(1-Measures!$S$22)^(I$5-1)*I$6-Measures!$V$22*I$6,0)</f>
        <v>384721.40537793847</v>
      </c>
      <c r="J25" s="50">
        <f>IF(J$5&lt;=$C25,Measures!$Q$22*(1-Measures!$S$22)^(J$5-1)*J$6-Measures!$V$22*J$6,0)</f>
        <v>0</v>
      </c>
      <c r="K25" s="50">
        <f>IF(K$5&lt;=$C25,Measures!$Q$22*(1-Measures!$S$22)^(K$5-1)*K$6-Measures!$V$22*K$6,0)</f>
        <v>0</v>
      </c>
      <c r="L25" s="50">
        <f>IF(L$5&lt;=$C25,Measures!$Q$22*(1-Measures!$S$22)^(L$5-1)*L$6-Measures!$V$22*L$6,0)</f>
        <v>0</v>
      </c>
      <c r="M25" s="50">
        <f>IF(M$5&lt;=$C25,Measures!$Q$22*(1-Measures!$S$22)^(M$5-1)*M$6-Measures!$V$22*M$6,0)</f>
        <v>0</v>
      </c>
      <c r="N25" s="50">
        <f>IF(N$5&lt;=$C25,Measures!$Q$22*(1-Measures!$S$22)^(N$5-1)*N$6-Measures!$V$22*N$6,0)</f>
        <v>0</v>
      </c>
      <c r="O25" s="50">
        <f>IF(O$5&lt;=$C25,Measures!$Q$22*(1-Measures!$S$22)^(O$5-1)*O$6-Measures!$V$22*O$6,0)</f>
        <v>0</v>
      </c>
      <c r="P25" s="50">
        <f>IF(P$5&lt;=$C25,Measures!$Q$22*(1-Measures!$S$22)^(P$5-1)*P$6-Measures!$V$22*P$6,0)</f>
        <v>0</v>
      </c>
      <c r="Q25" s="50">
        <f>IF(Q$5&lt;=$C25,Measures!$Q$22*(1-Measures!$S$22)^(Q$5-1)*Q$6-Measures!$V$22*Q$6,0)</f>
        <v>0</v>
      </c>
      <c r="R25" s="50">
        <f>IF(R$5&lt;=$C25,Measures!$Q$22*(1-Measures!$S$22)^(R$5-1)*R$6-Measures!$V$22*R$6,0)</f>
        <v>0</v>
      </c>
      <c r="S25" s="50">
        <f>IF(S$5&lt;=$C25,Measures!$Q$22*(1-Measures!$S$22)^(S$5-1)*S$6-Measures!$V$22*S$6,0)</f>
        <v>0</v>
      </c>
      <c r="T25" s="50">
        <f>IF(T$5&lt;=$C25,Measures!$Q$22*(1-Measures!$S$22)^(T$5-1)*T$6-Measures!$V$22*T$6,0)</f>
        <v>0</v>
      </c>
      <c r="U25" s="50">
        <f>IF(U$5&lt;=$C25,Measures!$Q$22*(1-Measures!$S$22)^(U$5-1)*U$6-Measures!$V$22*U$6,0)</f>
        <v>0</v>
      </c>
      <c r="V25" s="50">
        <f>IF(V$5&lt;=$C25,Measures!$Q$22*(1-Measures!$S$22)^(V$5-1)*V$6-Measures!$V$22*V$6,0)</f>
        <v>0</v>
      </c>
      <c r="W25" s="50">
        <f>IF(W$5&lt;=$C25,Measures!$Q$22*(1-Measures!$S$22)^(W$5-1)*W$6-Measures!$V$22*W$6,0)</f>
        <v>0</v>
      </c>
      <c r="X25" s="50">
        <f>IF(X$5&lt;=$C25,Measures!$Q$22*(1-Measures!$S$22)^(X$5-1)*X$6-Measures!$V$22*X$6,0)</f>
        <v>0</v>
      </c>
    </row>
    <row r="26" spans="1:24" x14ac:dyDescent="0.25">
      <c r="A26" s="73">
        <v>18</v>
      </c>
      <c r="B26" s="7" t="s">
        <v>565</v>
      </c>
      <c r="C26" s="35">
        <f>Portfolio!$D$40</f>
        <v>15</v>
      </c>
      <c r="D26" s="50">
        <f>-Measures!$T$23</f>
        <v>-10950</v>
      </c>
      <c r="E26" s="50">
        <f>IF(E$5&lt;=$C26,Measures!$Q$23*(1-Measures!$S$23)^(E$5-1)*E$6-Measures!$V$23*E$6,0)</f>
        <v>54450.67439490705</v>
      </c>
      <c r="F26" s="50">
        <f>IF(F$5&lt;=$C26,Measures!$Q$23*(1-Measures!$S$23)^(F$5-1)*F$6-Measures!$V$23*F$6,0)</f>
        <v>58806.72834649962</v>
      </c>
      <c r="G26" s="50">
        <f>IF(G$5&lt;=$C26,Measures!$Q$23*(1-Measures!$S$23)^(G$5-1)*G$6-Measures!$V$23*G$6,0)</f>
        <v>63511.26661421959</v>
      </c>
      <c r="H26" s="50">
        <f>IF(H$5&lt;=$C26,Measures!$Q$23*(1-Measures!$S$23)^(H$5-1)*H$6-Measures!$V$23*H$6,0)</f>
        <v>68592.16794335716</v>
      </c>
      <c r="I26" s="50">
        <f>IF(I$5&lt;=$C26,Measures!$Q$23*(1-Measures!$S$23)^(I$5-1)*I$6-Measures!$V$23*I$6,0)</f>
        <v>74079.54137882574</v>
      </c>
      <c r="J26" s="50">
        <f>IF(J$5&lt;=$C26,Measures!$Q$23*(1-Measures!$S$23)^(J$5-1)*J$6-Measures!$V$23*J$6,0)</f>
        <v>80005.90468913181</v>
      </c>
      <c r="K26" s="50">
        <f>IF(K$5&lt;=$C26,Measures!$Q$23*(1-Measures!$S$23)^(K$5-1)*K$6-Measures!$V$23*K$6,0)</f>
        <v>86406.37706426236</v>
      </c>
      <c r="L26" s="50">
        <f>IF(L$5&lt;=$C26,Measures!$Q$23*(1-Measures!$S$23)^(L$5-1)*L$6-Measures!$V$23*L$6,0)</f>
        <v>93318.88722940336</v>
      </c>
      <c r="M26" s="50">
        <f>IF(M$5&lt;=$C26,Measures!$Q$23*(1-Measures!$S$23)^(M$5-1)*M$6-Measures!$V$23*M$6,0)</f>
        <v>100784.39820775563</v>
      </c>
      <c r="N26" s="50">
        <f>IF(N$5&lt;=$C26,Measures!$Q$23*(1-Measures!$S$23)^(N$5-1)*N$6-Measures!$V$23*N$6,0)</f>
        <v>108847.15006437608</v>
      </c>
      <c r="O26" s="50">
        <f>IF(O$5&lt;=$C26,Measures!$Q$23*(1-Measures!$S$23)^(O$5-1)*O$6-Measures!$V$23*O$6,0)</f>
        <v>117554.92206952619</v>
      </c>
      <c r="P26" s="50">
        <f>IF(P$5&lt;=$C26,Measures!$Q$23*(1-Measures!$S$23)^(P$5-1)*P$6-Measures!$V$23*P$6,0)</f>
        <v>126959.31583508827</v>
      </c>
      <c r="Q26" s="50">
        <f>IF(Q$5&lt;=$C26,Measures!$Q$23*(1-Measures!$S$23)^(Q$5-1)*Q$6-Measures!$V$23*Q$6,0)</f>
        <v>137116.06110189535</v>
      </c>
      <c r="R26" s="50">
        <f>IF(R$5&lt;=$C26,Measures!$Q$23*(1-Measures!$S$23)^(R$5-1)*R$6-Measures!$V$23*R$6,0)</f>
        <v>148085.345990047</v>
      </c>
      <c r="S26" s="50">
        <f>IF(S$5&lt;=$C26,Measures!$Q$23*(1-Measures!$S$23)^(S$5-1)*S$6-Measures!$V$23*S$6,0)</f>
        <v>159932.17366925077</v>
      </c>
      <c r="T26" s="50">
        <f>IF(T$5&lt;=$C26,Measures!$Q$23*(1-Measures!$S$23)^(T$5-1)*T$6-Measures!$V$23*T$6,0)</f>
        <v>0</v>
      </c>
      <c r="U26" s="50">
        <f>IF(U$5&lt;=$C26,Measures!$Q$23*(1-Measures!$S$23)^(U$5-1)*U$6-Measures!$V$23*U$6,0)</f>
        <v>0</v>
      </c>
      <c r="V26" s="50">
        <f>IF(V$5&lt;=$C26,Measures!$Q$23*(1-Measures!$S$23)^(V$5-1)*V$6-Measures!$V$23*V$6,0)</f>
        <v>0</v>
      </c>
      <c r="W26" s="50">
        <f>IF(W$5&lt;=$C26,Measures!$Q$23*(1-Measures!$S$23)^(W$5-1)*W$6-Measures!$V$23*W$6,0)</f>
        <v>0</v>
      </c>
      <c r="X26" s="50">
        <f>IF(X$5&lt;=$C26,Measures!$Q$23*(1-Measures!$S$23)^(X$5-1)*X$6-Measures!$V$23*X$6,0)</f>
        <v>0</v>
      </c>
    </row>
    <row r="27" spans="1:24" x14ac:dyDescent="0.25">
      <c r="A27" s="73">
        <v>19</v>
      </c>
      <c r="B27" s="7" t="s">
        <v>568</v>
      </c>
      <c r="C27" s="35">
        <f>Portfolio!$D$41</f>
        <v>15</v>
      </c>
      <c r="D27" s="50">
        <f>-Measures!$T$24</f>
        <v>-248410.86926538887</v>
      </c>
      <c r="E27" s="50">
        <f>IF(E$5&lt;=$C27,Measures!$Q$24*(1-Measures!$S$24)^(E$5-1)*E$6-Measures!$V$24*E$6,0)</f>
        <v>117967.98821398689</v>
      </c>
      <c r="F27" s="50">
        <f>IF(F$5&lt;=$C27,Measures!$Q$24*(1-Measures!$S$24)^(F$5-1)*F$6-Measures!$V$24*F$6,0)</f>
        <v>127405.42727110584</v>
      </c>
      <c r="G27" s="50">
        <f>IF(G$5&lt;=$C27,Measures!$Q$24*(1-Measures!$S$24)^(G$5-1)*G$6-Measures!$V$24*G$6,0)</f>
        <v>137597.8614527943</v>
      </c>
      <c r="H27" s="50">
        <f>IF(H$5&lt;=$C27,Measures!$Q$24*(1-Measures!$S$24)^(H$5-1)*H$6-Measures!$V$24*H$6,0)</f>
        <v>148605.69036901786</v>
      </c>
      <c r="I27" s="50">
        <f>IF(I$5&lt;=$C27,Measures!$Q$24*(1-Measures!$S$24)^(I$5-1)*I$6-Measures!$V$24*I$6,0)</f>
        <v>160494.14559853933</v>
      </c>
      <c r="J27" s="50">
        <f>IF(J$5&lt;=$C27,Measures!$Q$24*(1-Measures!$S$24)^(J$5-1)*J$6-Measures!$V$24*J$6,0)</f>
        <v>173333.67724642248</v>
      </c>
      <c r="K27" s="50">
        <f>IF(K$5&lt;=$C27,Measures!$Q$24*(1-Measures!$S$24)^(K$5-1)*K$6-Measures!$V$24*K$6,0)</f>
        <v>187200.37142613626</v>
      </c>
      <c r="L27" s="50">
        <f>IF(L$5&lt;=$C27,Measures!$Q$24*(1-Measures!$S$24)^(L$5-1)*L$6-Measures!$V$24*L$6,0)</f>
        <v>202176.40114022722</v>
      </c>
      <c r="M27" s="50">
        <f>IF(M$5&lt;=$C27,Measures!$Q$24*(1-Measures!$S$24)^(M$5-1)*M$6-Measures!$V$24*M$6,0)</f>
        <v>218350.5132314454</v>
      </c>
      <c r="N27" s="50">
        <f>IF(N$5&lt;=$C27,Measures!$Q$24*(1-Measures!$S$24)^(N$5-1)*N$6-Measures!$V$24*N$6,0)</f>
        <v>235818.55428996103</v>
      </c>
      <c r="O27" s="50">
        <f>IF(O$5&lt;=$C27,Measures!$Q$24*(1-Measures!$S$24)^(O$5-1)*O$6-Measures!$V$24*O$6,0)</f>
        <v>254684.03863315794</v>
      </c>
      <c r="P27" s="50">
        <f>IF(P$5&lt;=$C27,Measures!$Q$24*(1-Measures!$S$24)^(P$5-1)*P$6-Measures!$V$24*P$6,0)</f>
        <v>275058.7617238106</v>
      </c>
      <c r="Q27" s="50">
        <f>IF(Q$5&lt;=$C27,Measures!$Q$24*(1-Measures!$S$24)^(Q$5-1)*Q$6-Measures!$V$24*Q$6,0)</f>
        <v>297063.46266171546</v>
      </c>
      <c r="R27" s="50">
        <f>IF(R$5&lt;=$C27,Measures!$Q$24*(1-Measures!$S$24)^(R$5-1)*R$6-Measures!$V$24*R$6,0)</f>
        <v>320828.53967465274</v>
      </c>
      <c r="S27" s="50">
        <f>IF(S$5&lt;=$C27,Measures!$Q$24*(1-Measures!$S$24)^(S$5-1)*S$6-Measures!$V$24*S$6,0)</f>
        <v>346494.82284862496</v>
      </c>
      <c r="T27" s="50">
        <f>IF(T$5&lt;=$C27,Measures!$Q$24*(1-Measures!$S$24)^(T$5-1)*T$6-Measures!$V$24*T$6,0)</f>
        <v>0</v>
      </c>
      <c r="U27" s="50">
        <f>IF(U$5&lt;=$C27,Measures!$Q$24*(1-Measures!$S$24)^(U$5-1)*U$6-Measures!$V$24*U$6,0)</f>
        <v>0</v>
      </c>
      <c r="V27" s="50">
        <f>IF(V$5&lt;=$C27,Measures!$Q$24*(1-Measures!$S$24)^(V$5-1)*V$6-Measures!$V$24*V$6,0)</f>
        <v>0</v>
      </c>
      <c r="W27" s="50">
        <f>IF(W$5&lt;=$C27,Measures!$Q$24*(1-Measures!$S$24)^(W$5-1)*W$6-Measures!$V$24*W$6,0)</f>
        <v>0</v>
      </c>
      <c r="X27" s="50">
        <f>IF(X$5&lt;=$C27,Measures!$Q$24*(1-Measures!$S$24)^(X$5-1)*X$6-Measures!$V$24*X$6,0)</f>
        <v>0</v>
      </c>
    </row>
    <row r="28" spans="1:24" x14ac:dyDescent="0.25">
      <c r="A28" s="73">
        <v>20</v>
      </c>
      <c r="B28" s="7" t="s">
        <v>571</v>
      </c>
      <c r="C28" s="35">
        <f>Portfolio!$D$42</f>
        <v>5</v>
      </c>
      <c r="D28" s="50">
        <f>-Measures!$T$25</f>
        <v>-5600</v>
      </c>
      <c r="E28" s="50">
        <f>IF(E$5&lt;=$C28,Measures!$Q$25*(1-Measures!$S$25)^(E$5-1)*E$6-Measures!$V$25*E$6,0)</f>
        <v>6292.076432692128</v>
      </c>
      <c r="F28" s="50">
        <f>IF(F$5&lt;=$C28,Measures!$Q$25*(1-Measures!$S$25)^(F$5-1)*F$6-Measures!$V$25*F$6,0)</f>
        <v>6795.442547307499</v>
      </c>
      <c r="G28" s="50">
        <f>IF(G$5&lt;=$C28,Measures!$Q$25*(1-Measures!$S$25)^(G$5-1)*G$6-Measures!$V$25*G$6,0)</f>
        <v>7339.077951092098</v>
      </c>
      <c r="H28" s="50">
        <f>IF(H$5&lt;=$C28,Measures!$Q$25*(1-Measures!$S$25)^(H$5-1)*H$6-Measures!$V$25*H$6,0)</f>
        <v>7926.204187179467</v>
      </c>
      <c r="I28" s="50">
        <f>IF(I$5&lt;=$C28,Measures!$Q$25*(1-Measures!$S$25)^(I$5-1)*I$6-Measures!$V$25*I$6,0)</f>
        <v>8560.300522153826</v>
      </c>
      <c r="J28" s="50">
        <f>IF(J$5&lt;=$C28,Measures!$Q$25*(1-Measures!$S$25)^(J$5-1)*J$6-Measures!$V$25*J$6,0)</f>
        <v>0</v>
      </c>
      <c r="K28" s="50">
        <f>IF(K$5&lt;=$C28,Measures!$Q$25*(1-Measures!$S$25)^(K$5-1)*K$6-Measures!$V$25*K$6,0)</f>
        <v>0</v>
      </c>
      <c r="L28" s="50">
        <f>IF(L$5&lt;=$C28,Measures!$Q$25*(1-Measures!$S$25)^(L$5-1)*L$6-Measures!$V$25*L$6,0)</f>
        <v>0</v>
      </c>
      <c r="M28" s="50">
        <f>IF(M$5&lt;=$C28,Measures!$Q$25*(1-Measures!$S$25)^(M$5-1)*M$6-Measures!$V$25*M$6,0)</f>
        <v>0</v>
      </c>
      <c r="N28" s="50">
        <f>IF(N$5&lt;=$C28,Measures!$Q$25*(1-Measures!$S$25)^(N$5-1)*N$6-Measures!$V$25*N$6,0)</f>
        <v>0</v>
      </c>
      <c r="O28" s="50">
        <f>IF(O$5&lt;=$C28,Measures!$Q$25*(1-Measures!$S$25)^(O$5-1)*O$6-Measures!$V$25*O$6,0)</f>
        <v>0</v>
      </c>
      <c r="P28" s="50">
        <f>IF(P$5&lt;=$C28,Measures!$Q$25*(1-Measures!$S$25)^(P$5-1)*P$6-Measures!$V$25*P$6,0)</f>
        <v>0</v>
      </c>
      <c r="Q28" s="50">
        <f>IF(Q$5&lt;=$C28,Measures!$Q$25*(1-Measures!$S$25)^(Q$5-1)*Q$6-Measures!$V$25*Q$6,0)</f>
        <v>0</v>
      </c>
      <c r="R28" s="50">
        <f>IF(R$5&lt;=$C28,Measures!$Q$25*(1-Measures!$S$25)^(R$5-1)*R$6-Measures!$V$25*R$6,0)</f>
        <v>0</v>
      </c>
      <c r="S28" s="50">
        <f>IF(S$5&lt;=$C28,Measures!$Q$25*(1-Measures!$S$25)^(S$5-1)*S$6-Measures!$V$25*S$6,0)</f>
        <v>0</v>
      </c>
      <c r="T28" s="50">
        <f>IF(T$5&lt;=$C28,Measures!$Q$25*(1-Measures!$S$25)^(T$5-1)*T$6-Measures!$V$25*T$6,0)</f>
        <v>0</v>
      </c>
      <c r="U28" s="50">
        <f>IF(U$5&lt;=$C28,Measures!$Q$25*(1-Measures!$S$25)^(U$5-1)*U$6-Measures!$V$25*U$6,0)</f>
        <v>0</v>
      </c>
      <c r="V28" s="50">
        <f>IF(V$5&lt;=$C28,Measures!$Q$25*(1-Measures!$S$25)^(V$5-1)*V$6-Measures!$V$25*V$6,0)</f>
        <v>0</v>
      </c>
      <c r="W28" s="50">
        <f>IF(W$5&lt;=$C28,Measures!$Q$25*(1-Measures!$S$25)^(W$5-1)*W$6-Measures!$V$25*W$6,0)</f>
        <v>0</v>
      </c>
      <c r="X28" s="50">
        <f>IF(X$5&lt;=$C28,Measures!$Q$25*(1-Measures!$S$25)^(X$5-1)*X$6-Measures!$V$25*X$6,0)</f>
        <v>0</v>
      </c>
    </row>
    <row r="29" spans="1:24" x14ac:dyDescent="0.25">
      <c r="A29" s="73">
        <v>21</v>
      </c>
      <c r="B29" s="7" t="s">
        <v>574</v>
      </c>
      <c r="C29" s="35">
        <f>Portfolio!$D$43</f>
        <v>10</v>
      </c>
      <c r="D29" s="50">
        <f>-Measures!$T$26</f>
        <v>-14000</v>
      </c>
      <c r="E29" s="50">
        <f>IF(E$5&lt;=$C29,Measures!$Q$26*(1-Measures!$S$26)^(E$5-1)*E$6-Measures!$V$26*E$6,0)</f>
        <v>51662.73369299118</v>
      </c>
      <c r="F29" s="50">
        <f>IF(F$5&lt;=$C29,Measures!$Q$26*(1-Measures!$S$26)^(F$5-1)*F$6-Measures!$V$26*F$6,0)</f>
        <v>55795.75238843048</v>
      </c>
      <c r="G29" s="50">
        <f>IF(G$5&lt;=$C29,Measures!$Q$26*(1-Measures!$S$26)^(G$5-1)*G$6-Measures!$V$26*G$6,0)</f>
        <v>60259.41257950492</v>
      </c>
      <c r="H29" s="50">
        <f>IF(H$5&lt;=$C29,Measures!$Q$26*(1-Measures!$S$26)^(H$5-1)*H$6-Measures!$V$26*H$6,0)</f>
        <v>65080.16558586532</v>
      </c>
      <c r="I29" s="50">
        <f>IF(I$5&lt;=$C29,Measures!$Q$26*(1-Measures!$S$26)^(I$5-1)*I$6-Measures!$V$26*I$6,0)</f>
        <v>70286.57883273455</v>
      </c>
      <c r="J29" s="50">
        <f>IF(J$5&lt;=$C29,Measures!$Q$26*(1-Measures!$S$26)^(J$5-1)*J$6-Measures!$V$26*J$6,0)</f>
        <v>75909.50513935332</v>
      </c>
      <c r="K29" s="50">
        <f>IF(K$5&lt;=$C29,Measures!$Q$26*(1-Measures!$S$26)^(K$5-1)*K$6-Measures!$V$26*K$6,0)</f>
        <v>81982.26555050159</v>
      </c>
      <c r="L29" s="50">
        <f>IF(L$5&lt;=$C29,Measures!$Q$26*(1-Measures!$S$26)^(L$5-1)*L$6-Measures!$V$26*L$6,0)</f>
        <v>88540.84679454174</v>
      </c>
      <c r="M29" s="50">
        <f>IF(M$5&lt;=$C29,Measures!$Q$26*(1-Measures!$S$26)^(M$5-1)*M$6-Measures!$V$26*M$6,0)</f>
        <v>95624.11453810507</v>
      </c>
      <c r="N29" s="50">
        <f>IF(N$5&lt;=$C29,Measures!$Q$26*(1-Measures!$S$26)^(N$5-1)*N$6-Measures!$V$26*N$6,0)</f>
        <v>103274.04370115348</v>
      </c>
      <c r="O29" s="50">
        <f>IF(O$5&lt;=$C29,Measures!$Q$26*(1-Measures!$S$26)^(O$5-1)*O$6-Measures!$V$26*O$6,0)</f>
        <v>0</v>
      </c>
      <c r="P29" s="50">
        <f>IF(P$5&lt;=$C29,Measures!$Q$26*(1-Measures!$S$26)^(P$5-1)*P$6-Measures!$V$26*P$6,0)</f>
        <v>0</v>
      </c>
      <c r="Q29" s="50">
        <f>IF(Q$5&lt;=$C29,Measures!$Q$26*(1-Measures!$S$26)^(Q$5-1)*Q$6-Measures!$V$26*Q$6,0)</f>
        <v>0</v>
      </c>
      <c r="R29" s="50">
        <f>IF(R$5&lt;=$C29,Measures!$Q$26*(1-Measures!$S$26)^(R$5-1)*R$6-Measures!$V$26*R$6,0)</f>
        <v>0</v>
      </c>
      <c r="S29" s="50">
        <f>IF(S$5&lt;=$C29,Measures!$Q$26*(1-Measures!$S$26)^(S$5-1)*S$6-Measures!$V$26*S$6,0)</f>
        <v>0</v>
      </c>
      <c r="T29" s="50">
        <f>IF(T$5&lt;=$C29,Measures!$Q$26*(1-Measures!$S$26)^(T$5-1)*T$6-Measures!$V$26*T$6,0)</f>
        <v>0</v>
      </c>
      <c r="U29" s="50">
        <f>IF(U$5&lt;=$C29,Measures!$Q$26*(1-Measures!$S$26)^(U$5-1)*U$6-Measures!$V$26*U$6,0)</f>
        <v>0</v>
      </c>
      <c r="V29" s="50">
        <f>IF(V$5&lt;=$C29,Measures!$Q$26*(1-Measures!$S$26)^(V$5-1)*V$6-Measures!$V$26*V$6,0)</f>
        <v>0</v>
      </c>
      <c r="W29" s="50">
        <f>IF(W$5&lt;=$C29,Measures!$Q$26*(1-Measures!$S$26)^(W$5-1)*W$6-Measures!$V$26*W$6,0)</f>
        <v>0</v>
      </c>
      <c r="X29" s="50">
        <f>IF(X$5&lt;=$C29,Measures!$Q$26*(1-Measures!$S$26)^(X$5-1)*X$6-Measures!$V$26*X$6,0)</f>
        <v>0</v>
      </c>
    </row>
    <row r="30" spans="1:24" x14ac:dyDescent="0.25">
      <c r="A30" s="73">
        <v>22</v>
      </c>
      <c r="B30" s="7" t="s">
        <v>577</v>
      </c>
      <c r="C30" s="35">
        <f>Portfolio!$D$44</f>
        <v>10</v>
      </c>
      <c r="D30" s="50">
        <f>-Measures!$T$27</f>
        <v>-511600</v>
      </c>
      <c r="E30" s="50">
        <f>IF(E$5&lt;=$C30,Measures!$Q$27*(1-Measures!$S$27)^(E$5-1)*E$6-Measures!$V$27*E$6,0)</f>
        <v>251781.71428842816</v>
      </c>
      <c r="F30" s="50">
        <f>IF(F$5&lt;=$C30,Measures!$Q$27*(1-Measures!$S$27)^(F$5-1)*F$6-Measures!$V$27*F$6,0)</f>
        <v>271924.25143150246</v>
      </c>
      <c r="G30" s="50">
        <f>IF(G$5&lt;=$C30,Measures!$Q$27*(1-Measures!$S$27)^(G$5-1)*G$6-Measures!$V$27*G$6,0)</f>
        <v>293678.19154602266</v>
      </c>
      <c r="H30" s="50">
        <f>IF(H$5&lt;=$C30,Measures!$Q$27*(1-Measures!$S$27)^(H$5-1)*H$6-Measures!$V$27*H$6,0)</f>
        <v>317172.44686970446</v>
      </c>
      <c r="I30" s="50">
        <f>IF(I$5&lt;=$C30,Measures!$Q$27*(1-Measures!$S$27)^(I$5-1)*I$6-Measures!$V$27*I$6,0)</f>
        <v>342546.2426192808</v>
      </c>
      <c r="J30" s="50">
        <f>IF(J$5&lt;=$C30,Measures!$Q$27*(1-Measures!$S$27)^(J$5-1)*J$6-Measures!$V$27*J$6,0)</f>
        <v>369949.94202882337</v>
      </c>
      <c r="K30" s="50">
        <f>IF(K$5&lt;=$C30,Measures!$Q$27*(1-Measures!$S$27)^(K$5-1)*K$6-Measures!$V$27*K$6,0)</f>
        <v>399545.9373911292</v>
      </c>
      <c r="L30" s="50">
        <f>IF(L$5&lt;=$C30,Measures!$Q$27*(1-Measures!$S$27)^(L$5-1)*L$6-Measures!$V$27*L$6,0)</f>
        <v>431509.61238241964</v>
      </c>
      <c r="M30" s="50">
        <f>IF(M$5&lt;=$C30,Measures!$Q$27*(1-Measures!$S$27)^(M$5-1)*M$6-Measures!$V$27*M$6,0)</f>
        <v>466030.3813730132</v>
      </c>
      <c r="N30" s="50">
        <f>IF(N$5&lt;=$C30,Measures!$Q$27*(1-Measures!$S$27)^(N$5-1)*N$6-Measures!$V$27*N$6,0)</f>
        <v>503312.8118828543</v>
      </c>
      <c r="O30" s="50">
        <f>IF(O$5&lt;=$C30,Measures!$Q$27*(1-Measures!$S$27)^(O$5-1)*O$6-Measures!$V$27*O$6,0)</f>
        <v>0</v>
      </c>
      <c r="P30" s="50">
        <f>IF(P$5&lt;=$C30,Measures!$Q$27*(1-Measures!$S$27)^(P$5-1)*P$6-Measures!$V$27*P$6,0)</f>
        <v>0</v>
      </c>
      <c r="Q30" s="50">
        <f>IF(Q$5&lt;=$C30,Measures!$Q$27*(1-Measures!$S$27)^(Q$5-1)*Q$6-Measures!$V$27*Q$6,0)</f>
        <v>0</v>
      </c>
      <c r="R30" s="50">
        <f>IF(R$5&lt;=$C30,Measures!$Q$27*(1-Measures!$S$27)^(R$5-1)*R$6-Measures!$V$27*R$6,0)</f>
        <v>0</v>
      </c>
      <c r="S30" s="50">
        <f>IF(S$5&lt;=$C30,Measures!$Q$27*(1-Measures!$S$27)^(S$5-1)*S$6-Measures!$V$27*S$6,0)</f>
        <v>0</v>
      </c>
      <c r="T30" s="50">
        <f>IF(T$5&lt;=$C30,Measures!$Q$27*(1-Measures!$S$27)^(T$5-1)*T$6-Measures!$V$27*T$6,0)</f>
        <v>0</v>
      </c>
      <c r="U30" s="50">
        <f>IF(U$5&lt;=$C30,Measures!$Q$27*(1-Measures!$S$27)^(U$5-1)*U$6-Measures!$V$27*U$6,0)</f>
        <v>0</v>
      </c>
      <c r="V30" s="50">
        <f>IF(V$5&lt;=$C30,Measures!$Q$27*(1-Measures!$S$27)^(V$5-1)*V$6-Measures!$V$27*V$6,0)</f>
        <v>0</v>
      </c>
      <c r="W30" s="50">
        <f>IF(W$5&lt;=$C30,Measures!$Q$27*(1-Measures!$S$27)^(W$5-1)*W$6-Measures!$V$27*W$6,0)</f>
        <v>0</v>
      </c>
      <c r="X30" s="50">
        <f>IF(X$5&lt;=$C30,Measures!$Q$27*(1-Measures!$S$27)^(X$5-1)*X$6-Measures!$V$27*X$6,0)</f>
        <v>0</v>
      </c>
    </row>
    <row r="31" spans="1:24" x14ac:dyDescent="0.25">
      <c r="A31" s="73">
        <v>23</v>
      </c>
      <c r="B31" s="7" t="s">
        <v>579</v>
      </c>
      <c r="C31" s="35">
        <f>Portfolio!$D$45</f>
        <v>10</v>
      </c>
      <c r="D31" s="50">
        <f>-Measures!$T$28</f>
        <v>-15000</v>
      </c>
      <c r="E31" s="50">
        <f>IF(E$5&lt;=$C31,Measures!$Q$28*(1-Measures!$S$28)^(E$5-1)*E$6-Measures!$V$28*E$6,0)</f>
        <v>8083.036992149343</v>
      </c>
      <c r="F31" s="50">
        <f>IF(F$5&lt;=$C31,Measures!$Q$28*(1-Measures!$S$28)^(F$5-1)*F$6-Measures!$V$28*F$6,0)</f>
        <v>8729.679951521292</v>
      </c>
      <c r="G31" s="50">
        <f>IF(G$5&lt;=$C31,Measures!$Q$28*(1-Measures!$S$28)^(G$5-1)*G$6-Measures!$V$28*G$6,0)</f>
        <v>9428.054347642994</v>
      </c>
      <c r="H31" s="50">
        <f>IF(H$5&lt;=$C31,Measures!$Q$28*(1-Measures!$S$28)^(H$5-1)*H$6-Measures!$V$28*H$6,0)</f>
        <v>10182.298695454434</v>
      </c>
      <c r="I31" s="50">
        <f>IF(I$5&lt;=$C31,Measures!$Q$28*(1-Measures!$S$28)^(I$5-1)*I$6-Measures!$V$28*I$6,0)</f>
        <v>10996.88259109079</v>
      </c>
      <c r="J31" s="50">
        <f>IF(J$5&lt;=$C31,Measures!$Q$28*(1-Measures!$S$28)^(J$5-1)*J$6-Measures!$V$28*J$6,0)</f>
        <v>11876.633198378055</v>
      </c>
      <c r="K31" s="50">
        <f>IF(K$5&lt;=$C31,Measures!$Q$28*(1-Measures!$S$28)^(K$5-1)*K$6-Measures!$V$28*K$6,0)</f>
        <v>12826.7638542483</v>
      </c>
      <c r="L31" s="50">
        <f>IF(L$5&lt;=$C31,Measures!$Q$28*(1-Measures!$S$28)^(L$5-1)*L$6-Measures!$V$28*L$6,0)</f>
        <v>13852.904962588165</v>
      </c>
      <c r="M31" s="50">
        <f>IF(M$5&lt;=$C31,Measures!$Q$28*(1-Measures!$S$28)^(M$5-1)*M$6-Measures!$V$28*M$6,0)</f>
        <v>14961.13735959522</v>
      </c>
      <c r="N31" s="50">
        <f>IF(N$5&lt;=$C31,Measures!$Q$28*(1-Measures!$S$28)^(N$5-1)*N$6-Measures!$V$28*N$6,0)</f>
        <v>16158.028348362837</v>
      </c>
      <c r="O31" s="50">
        <f>IF(O$5&lt;=$C31,Measures!$Q$28*(1-Measures!$S$28)^(O$5-1)*O$6-Measures!$V$28*O$6,0)</f>
        <v>0</v>
      </c>
      <c r="P31" s="50">
        <f>IF(P$5&lt;=$C31,Measures!$Q$28*(1-Measures!$S$28)^(P$5-1)*P$6-Measures!$V$28*P$6,0)</f>
        <v>0</v>
      </c>
      <c r="Q31" s="50">
        <f>IF(Q$5&lt;=$C31,Measures!$Q$28*(1-Measures!$S$28)^(Q$5-1)*Q$6-Measures!$V$28*Q$6,0)</f>
        <v>0</v>
      </c>
      <c r="R31" s="50">
        <f>IF(R$5&lt;=$C31,Measures!$Q$28*(1-Measures!$S$28)^(R$5-1)*R$6-Measures!$V$28*R$6,0)</f>
        <v>0</v>
      </c>
      <c r="S31" s="50">
        <f>IF(S$5&lt;=$C31,Measures!$Q$28*(1-Measures!$S$28)^(S$5-1)*S$6-Measures!$V$28*S$6,0)</f>
        <v>0</v>
      </c>
      <c r="T31" s="50">
        <f>IF(T$5&lt;=$C31,Measures!$Q$28*(1-Measures!$S$28)^(T$5-1)*T$6-Measures!$V$28*T$6,0)</f>
        <v>0</v>
      </c>
      <c r="U31" s="50">
        <f>IF(U$5&lt;=$C31,Measures!$Q$28*(1-Measures!$S$28)^(U$5-1)*U$6-Measures!$V$28*U$6,0)</f>
        <v>0</v>
      </c>
      <c r="V31" s="50">
        <f>IF(V$5&lt;=$C31,Measures!$Q$28*(1-Measures!$S$28)^(V$5-1)*V$6-Measures!$V$28*V$6,0)</f>
        <v>0</v>
      </c>
      <c r="W31" s="50">
        <f>IF(W$5&lt;=$C31,Measures!$Q$28*(1-Measures!$S$28)^(W$5-1)*W$6-Measures!$V$28*W$6,0)</f>
        <v>0</v>
      </c>
      <c r="X31" s="50">
        <f>IF(X$5&lt;=$C31,Measures!$Q$28*(1-Measures!$S$28)^(X$5-1)*X$6-Measures!$V$28*X$6,0)</f>
        <v>0</v>
      </c>
    </row>
    <row r="32" spans="1:24" x14ac:dyDescent="0.25">
      <c r="A32" s="73">
        <v>24</v>
      </c>
      <c r="B32" s="7" t="s">
        <v>582</v>
      </c>
      <c r="C32" s="35">
        <f>Portfolio!$D$46</f>
        <v>15</v>
      </c>
      <c r="D32" s="50">
        <f>-Measures!$T$29</f>
        <v>-136000</v>
      </c>
      <c r="E32" s="50">
        <f>IF(E$5&lt;=$C32,Measures!$Q$29*(1-Measures!$S$29)^(E$5-1)*E$6-Measures!$V$29*E$6,0)</f>
        <v>33611.19419336111</v>
      </c>
      <c r="F32" s="50">
        <f>IF(F$5&lt;=$C32,Measures!$Q$29*(1-Measures!$S$29)^(F$5-1)*F$6-Measures!$V$29*F$6,0)</f>
        <v>36300.08972883</v>
      </c>
      <c r="G32" s="50">
        <f>IF(G$5&lt;=$C32,Measures!$Q$29*(1-Measures!$S$29)^(G$5-1)*G$6-Measures!$V$29*G$6,0)</f>
        <v>39204.0969071364</v>
      </c>
      <c r="H32" s="50">
        <f>IF(H$5&lt;=$C32,Measures!$Q$29*(1-Measures!$S$29)^(H$5-1)*H$6-Measures!$V$29*H$6,0)</f>
        <v>42340.424659707314</v>
      </c>
      <c r="I32" s="50">
        <f>IF(I$5&lt;=$C32,Measures!$Q$29*(1-Measures!$S$29)^(I$5-1)*I$6-Measures!$V$29*I$6,0)</f>
        <v>45727.6586324839</v>
      </c>
      <c r="J32" s="50">
        <f>IF(J$5&lt;=$C32,Measures!$Q$29*(1-Measures!$S$29)^(J$5-1)*J$6-Measures!$V$29*J$6,0)</f>
        <v>49385.871323082625</v>
      </c>
      <c r="K32" s="50">
        <f>IF(K$5&lt;=$C32,Measures!$Q$29*(1-Measures!$S$29)^(K$5-1)*K$6-Measures!$V$29*K$6,0)</f>
        <v>53336.74102892923</v>
      </c>
      <c r="L32" s="50">
        <f>IF(L$5&lt;=$C32,Measures!$Q$29*(1-Measures!$S$29)^(L$5-1)*L$6-Measures!$V$29*L$6,0)</f>
        <v>57603.68031124358</v>
      </c>
      <c r="M32" s="50">
        <f>IF(M$5&lt;=$C32,Measures!$Q$29*(1-Measures!$S$29)^(M$5-1)*M$6-Measures!$V$29*M$6,0)</f>
        <v>62211.97473614307</v>
      </c>
      <c r="N32" s="50">
        <f>IF(N$5&lt;=$C32,Measures!$Q$29*(1-Measures!$S$29)^(N$5-1)*N$6-Measures!$V$29*N$6,0)</f>
        <v>67188.93271503452</v>
      </c>
      <c r="O32" s="50">
        <f>IF(O$5&lt;=$C32,Measures!$Q$29*(1-Measures!$S$29)^(O$5-1)*O$6-Measures!$V$29*O$6,0)</f>
        <v>72564.04733223729</v>
      </c>
      <c r="P32" s="50">
        <f>IF(P$5&lt;=$C32,Measures!$Q$29*(1-Measures!$S$29)^(P$5-1)*P$6-Measures!$V$29*P$6,0)</f>
        <v>78369.17111881626</v>
      </c>
      <c r="Q32" s="50">
        <f>IF(Q$5&lt;=$C32,Measures!$Q$29*(1-Measures!$S$29)^(Q$5-1)*Q$6-Measures!$V$29*Q$6,0)</f>
        <v>84638.70480832158</v>
      </c>
      <c r="R32" s="50">
        <f>IF(R$5&lt;=$C32,Measures!$Q$29*(1-Measures!$S$29)^(R$5-1)*R$6-Measures!$V$29*R$6,0)</f>
        <v>91409.80119298732</v>
      </c>
      <c r="S32" s="50">
        <f>IF(S$5&lt;=$C32,Measures!$Q$29*(1-Measures!$S$29)^(S$5-1)*S$6-Measures!$V$29*S$6,0)</f>
        <v>98722.5852884263</v>
      </c>
      <c r="T32" s="50">
        <f>IF(T$5&lt;=$C32,Measures!$Q$29*(1-Measures!$S$29)^(T$5-1)*T$6-Measures!$V$29*T$6,0)</f>
        <v>0</v>
      </c>
      <c r="U32" s="50">
        <f>IF(U$5&lt;=$C32,Measures!$Q$29*(1-Measures!$S$29)^(U$5-1)*U$6-Measures!$V$29*U$6,0)</f>
        <v>0</v>
      </c>
      <c r="V32" s="50">
        <f>IF(V$5&lt;=$C32,Measures!$Q$29*(1-Measures!$S$29)^(V$5-1)*V$6-Measures!$V$29*V$6,0)</f>
        <v>0</v>
      </c>
      <c r="W32" s="50">
        <f>IF(W$5&lt;=$C32,Measures!$Q$29*(1-Measures!$S$29)^(W$5-1)*W$6-Measures!$V$29*W$6,0)</f>
        <v>0</v>
      </c>
      <c r="X32" s="50">
        <f>IF(X$5&lt;=$C32,Measures!$Q$29*(1-Measures!$S$29)^(X$5-1)*X$6-Measures!$V$29*X$6,0)</f>
        <v>0</v>
      </c>
    </row>
    <row r="34" spans="2:24" x14ac:dyDescent="0.25">
      <c r="B34" s="67" t="s">
        <v>618</v>
      </c>
      <c r="D34" s="79">
        <f>SUM(D9:D32)</f>
        <v>-3497273.8327836003</v>
      </c>
      <c r="E34" s="79">
        <f>SUM(E9:E32)</f>
        <v>3266550.992764389</v>
      </c>
      <c r="F34" s="79">
        <f>SUM(F9:F32)</f>
        <v>3527875.0721855396</v>
      </c>
      <c r="G34" s="79">
        <f>SUM(G9:G32)</f>
        <v>3810105.077960384</v>
      </c>
      <c r="H34" s="79">
        <f>SUM(H9:H32)</f>
        <v>3974094.8118318203</v>
      </c>
      <c r="I34" s="79">
        <f>SUM(I9:I32)</f>
        <v>4292022.3967783665</v>
      </c>
      <c r="J34" s="79">
        <f>SUM(J9:J32)</f>
        <v>3435498.920739592</v>
      </c>
      <c r="K34" s="79">
        <f>SUM(K9:K32)</f>
        <v>3710338.834398759</v>
      </c>
      <c r="L34" s="79">
        <f>SUM(L9:L32)</f>
        <v>4007165.94115066</v>
      </c>
      <c r="M34" s="79">
        <f>SUM(M9:M32)</f>
        <v>4327739.2164427135</v>
      </c>
      <c r="N34" s="79">
        <f>SUM(N9:N32)</f>
        <v>4673958.35375813</v>
      </c>
      <c r="O34" s="79">
        <f>SUM(O9:O32)</f>
        <v>3295859.009371413</v>
      </c>
      <c r="P34" s="79">
        <f>SUM(P9:P32)</f>
        <v>3559527.7301211255</v>
      </c>
      <c r="Q34" s="79">
        <f>SUM(Q9:Q32)</f>
        <v>3844289.9485308165</v>
      </c>
      <c r="R34" s="79">
        <f>SUM(R9:R32)</f>
        <v>4151833.144413281</v>
      </c>
      <c r="S34" s="79">
        <f>SUM(S9:S32)</f>
        <v>4483979.795966344</v>
      </c>
      <c r="T34" s="79">
        <f>SUM(T9:T32)</f>
        <v>1540119.214010177</v>
      </c>
      <c r="U34" s="79">
        <f>SUM(U9:U32)</f>
        <v>1663328.7511309914</v>
      </c>
      <c r="V34" s="79">
        <f>SUM(V9:V32)</f>
        <v>1796395.0512214708</v>
      </c>
      <c r="W34" s="79">
        <f>SUM(W9:W32)</f>
        <v>1940106.6553191887</v>
      </c>
      <c r="X34" s="79">
        <f>SUM(X9:X32)</f>
        <v>2095315.1877447236</v>
      </c>
    </row>
    <row r="35" spans="2:24" x14ac:dyDescent="0.25">
      <c r="B35" s="67" t="s">
        <v>619</v>
      </c>
      <c r="D35" s="50">
        <f>D34*D7</f>
        <v>-3497273.8327836003</v>
      </c>
      <c r="E35" s="50">
        <f>E34*E7</f>
        <v>2916563.386396776</v>
      </c>
      <c r="F35" s="50">
        <f>F34*F7</f>
        <v>2812400.4083111756</v>
      </c>
      <c r="G35" s="50">
        <f>G34*G7</f>
        <v>2711957.5365857775</v>
      </c>
      <c r="H35" s="50">
        <f>H34*H7</f>
        <v>2525609.0982139674</v>
      </c>
      <c r="I35" s="50">
        <f>I34*I7</f>
        <v>2435408.773277754</v>
      </c>
      <c r="J35" s="50">
        <f>J34*J7</f>
        <v>1740530.6700177742</v>
      </c>
      <c r="K35" s="50">
        <f>K34*K7</f>
        <v>1678368.860374282</v>
      </c>
      <c r="L35" s="50">
        <f>L34*L7</f>
        <v>1618427.115360915</v>
      </c>
      <c r="M35" s="50">
        <f>M34*M7</f>
        <v>1560626.146955168</v>
      </c>
      <c r="N35" s="50">
        <f>N34*N7</f>
        <v>1504889.4988496262</v>
      </c>
      <c r="O35" s="50">
        <f>O34*O7</f>
        <v>947480.7076731415</v>
      </c>
      <c r="P35" s="50">
        <f>P34*P7</f>
        <v>913642.1109705291</v>
      </c>
      <c r="Q35" s="50">
        <f>Q34*Q7</f>
        <v>881012.0355787246</v>
      </c>
      <c r="R35" s="50">
        <f>R34*R7</f>
        <v>849547.3200223414</v>
      </c>
      <c r="S35" s="50">
        <f>S34*S7</f>
        <v>819206.3443072578</v>
      </c>
      <c r="T35" s="50">
        <f>T34*T7</f>
        <v>251226.8056257289</v>
      </c>
      <c r="U35" s="50">
        <f>U34*U7</f>
        <v>242254.4197105243</v>
      </c>
      <c r="V35" s="50">
        <f>V34*V7</f>
        <v>233602.47614943417</v>
      </c>
      <c r="W35" s="50">
        <f>W34*W7</f>
        <v>225259.53057266865</v>
      </c>
      <c r="X35" s="50">
        <f>X34*X7</f>
        <v>217214.54733793045</v>
      </c>
    </row>
    <row r="36" spans="2:24" x14ac:dyDescent="0.25">
      <c r="B36" s="67" t="s">
        <v>620</v>
      </c>
      <c r="D36" s="50">
        <f>D34</f>
        <v>-3497273.8327836003</v>
      </c>
      <c r="E36" s="50">
        <f>D36+E34</f>
        <v>-230722.84001921117</v>
      </c>
      <c r="F36" s="50">
        <f>E36+F34</f>
        <v>3297152.2321663285</v>
      </c>
      <c r="G36" s="50">
        <f>F36+G34</f>
        <v>7107257.310126713</v>
      </c>
      <c r="H36" s="50">
        <f>G36+H34</f>
        <v>11081352.121958533</v>
      </c>
      <c r="I36" s="50">
        <f>H36+I34</f>
        <v>15373374.518736899</v>
      </c>
      <c r="J36" s="50">
        <f>I36+J34</f>
        <v>18808873.43947649</v>
      </c>
      <c r="K36" s="50">
        <f>J36+K34</f>
        <v>22519212.273875248</v>
      </c>
      <c r="L36" s="50">
        <f>K36+L34</f>
        <v>26526378.21502591</v>
      </c>
      <c r="M36" s="50">
        <f>L36+M34</f>
        <v>30854117.43146862</v>
      </c>
      <c r="N36" s="50">
        <f>M36+N34</f>
        <v>35528075.78522675</v>
      </c>
      <c r="O36" s="50">
        <f>N36+O34</f>
        <v>38823934.79459816</v>
      </c>
      <c r="P36" s="50">
        <f>O36+P34</f>
        <v>42383462.52471929</v>
      </c>
      <c r="Q36" s="50">
        <f>P36+Q34</f>
        <v>46227752.473250106</v>
      </c>
      <c r="R36" s="50">
        <f>Q36+R34</f>
        <v>50379585.61766338</v>
      </c>
      <c r="S36" s="50">
        <f>R36+S34</f>
        <v>54863565.413629726</v>
      </c>
      <c r="T36" s="50">
        <f>S36+T34</f>
        <v>56403684.627639905</v>
      </c>
      <c r="U36" s="50">
        <f>T36+U34</f>
        <v>58067013.378770895</v>
      </c>
      <c r="V36" s="50">
        <f>U36+V34</f>
        <v>59863408.42999236</v>
      </c>
      <c r="W36" s="50">
        <f>V36+W34</f>
        <v>61803515.085311554</v>
      </c>
      <c r="X36" s="50">
        <f>W36+X34</f>
        <v>63898830.273056276</v>
      </c>
    </row>
    <row r="37" spans="2:24" x14ac:dyDescent="0.25">
      <c r="B37" s="67" t="s">
        <v>621</v>
      </c>
      <c r="D37" s="50">
        <f>D35</f>
        <v>-3497273.8327836003</v>
      </c>
      <c r="E37" s="50">
        <f>D37+E35</f>
        <v>-580710.4463868244</v>
      </c>
      <c r="F37" s="50">
        <f>E37+F35</f>
        <v>2231689.9619243513</v>
      </c>
      <c r="G37" s="50">
        <f>F37+G35</f>
        <v>4943647.498510129</v>
      </c>
      <c r="H37" s="50">
        <f>G37+H35</f>
        <v>7469256.596724097</v>
      </c>
      <c r="I37" s="50">
        <f>H37+I35</f>
        <v>9904665.37000185</v>
      </c>
      <c r="J37" s="50">
        <f>I37+J35</f>
        <v>11645196.040019624</v>
      </c>
      <c r="K37" s="50">
        <f>J37+K35</f>
        <v>13323564.900393907</v>
      </c>
      <c r="L37" s="50">
        <f>K37+L35</f>
        <v>14941992.015754823</v>
      </c>
      <c r="M37" s="50">
        <f>L37+M35</f>
        <v>16502618.16270999</v>
      </c>
      <c r="N37" s="50">
        <f>M37+N35</f>
        <v>18007507.661559615</v>
      </c>
      <c r="O37" s="50">
        <f>N37+O35</f>
        <v>18954988.369232755</v>
      </c>
      <c r="P37" s="50">
        <f>O37+P35</f>
        <v>19868630.480203286</v>
      </c>
      <c r="Q37" s="50">
        <f>P37+Q35</f>
        <v>20749642.51578201</v>
      </c>
      <c r="R37" s="50">
        <f>Q37+R35</f>
        <v>21599189.83580435</v>
      </c>
      <c r="S37" s="50">
        <f>R37+S35</f>
        <v>22418396.18011161</v>
      </c>
      <c r="T37" s="50">
        <f>S37+T35</f>
        <v>22669622.98573734</v>
      </c>
      <c r="U37" s="50">
        <f>T37+U35</f>
        <v>22911877.405447863</v>
      </c>
      <c r="V37" s="50">
        <f>U37+V35</f>
        <v>23145479.881597295</v>
      </c>
      <c r="W37" s="50">
        <f>V37+W35</f>
        <v>23370739.412169963</v>
      </c>
      <c r="X37" s="50">
        <f>W37+X35</f>
        <v>23587953.959507894</v>
      </c>
    </row>
    <row r="39" spans="2:2" x14ac:dyDescent="0.25">
      <c r="B39" s="18" t="s">
        <v>622</v>
      </c>
    </row>
  </sheetData>
  <pageMargins left="0.45" right="0.45" top="0.7" bottom="0.6" header="0.3" footer="0.3"/>
  <pageSetup paperSize="9" orientation="landscape" horizontalDpi="4294967295" verticalDpi="4294967295" scale="100" fitToWidth="1" fitToHeight="0"/>
  <headerFooter>
    <oddHeader>&amp;L&amp;"Arial"&amp;8Advanced Energy Audit · Demo Foods (Pty) Ltd (fictional)&amp;R&amp;"Arial"&amp;8&amp;A</oddHeader>
    <oddFooter>&amp;L&amp;"Arial"&amp;8Thabiso Kali, Certified Energy Manager · Fictional demonstration&amp;R&amp;"Arial"&amp;8Page &amp;P of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1694A"/>
    <pageSetUpPr fitToPage="1"/>
  </sheetPr>
  <dimension ref="A1:U76"/>
  <sheetViews>
    <sheetView workbookViewId="0" showGridLines="0">
      <pane xSplit="2" topLeftCell="C1" activePane="topRight" state="frozen"/>
      <selection pane="topRight"/>
    </sheetView>
  </sheetViews>
  <sheetFormatPr defaultRowHeight="15" outlineLevelRow="0" outlineLevelCol="0" x14ac:dyDescent="55"/>
  <cols>
    <col min="1" max="1" width="6" customWidth="1"/>
    <col min="2" max="2" width="52" customWidth="1"/>
    <col min="3" max="3" width="28" customWidth="1"/>
    <col min="4" max="4" width="13" customWidth="1"/>
    <col min="5" max="5" width="14" customWidth="1"/>
    <col min="6" max="9" width="15" customWidth="1"/>
    <col min="10" max="10" width="11" customWidth="1"/>
    <col min="11" max="11" width="15" customWidth="1"/>
    <col min="12" max="12" width="10" customWidth="1"/>
    <col min="13" max="13" width="13" customWidth="1"/>
    <col min="15" max="16" width="11" customWidth="1"/>
    <col min="18" max="18" width="10" customWidth="1"/>
    <col min="19" max="19" width="8" customWidth="1"/>
    <col min="20" max="20" width="13" customWidth="1"/>
    <col min="21" max="21" width="11" customWidth="1"/>
  </cols>
  <sheetData>
    <row r="1" ht="26" customHeight="1" spans="1:1" x14ac:dyDescent="0.25">
      <c r="A1" s="31" t="s">
        <v>623</v>
      </c>
    </row>
    <row r="2" spans="1:1" x14ac:dyDescent="0.25">
      <c r="A2" s="32" t="s">
        <v>624</v>
      </c>
    </row>
    <row r="3" spans="1:1" x14ac:dyDescent="0.25">
      <c r="A3" s="33" t="s">
        <v>91</v>
      </c>
    </row>
    <row r="5" ht="18" customHeight="1" spans="1:8" x14ac:dyDescent="0.25">
      <c r="A5" s="5" t="s">
        <v>625</v>
      </c>
      <c r="B5" s="5"/>
      <c r="C5" s="5"/>
      <c r="D5" s="5"/>
      <c r="E5" s="5"/>
      <c r="F5" s="5"/>
      <c r="G5" s="5"/>
      <c r="H5" s="5"/>
    </row>
    <row r="6" spans="2:4" x14ac:dyDescent="0.25">
      <c r="B6" s="7" t="s">
        <v>626</v>
      </c>
      <c r="C6" s="80">
        <f>COUNTA($B$23:$B$46)</f>
        <v>24</v>
      </c>
      <c r="D6" s="18" t="s">
        <v>155</v>
      </c>
    </row>
    <row r="7" spans="2:4" x14ac:dyDescent="0.25">
      <c r="B7" s="7" t="s">
        <v>504</v>
      </c>
      <c r="C7" s="79">
        <f>E47</f>
        <v>3497273.8327836003</v>
      </c>
      <c r="D7" s="18" t="s">
        <v>155</v>
      </c>
    </row>
    <row r="8" spans="2:4" x14ac:dyDescent="0.25">
      <c r="B8" s="7" t="s">
        <v>501</v>
      </c>
      <c r="C8" s="79">
        <f>F47</f>
        <v>3302505.4679264873</v>
      </c>
      <c r="D8" s="18" t="s">
        <v>155</v>
      </c>
    </row>
    <row r="9" spans="2:4" x14ac:dyDescent="0.25">
      <c r="B9" s="7" t="s">
        <v>627</v>
      </c>
      <c r="C9" s="79">
        <f>G47</f>
        <v>35954.47516209854</v>
      </c>
      <c r="D9" s="18" t="s">
        <v>155</v>
      </c>
    </row>
    <row r="10" spans="2:4" x14ac:dyDescent="0.25">
      <c r="B10" s="7" t="s">
        <v>28</v>
      </c>
      <c r="C10" s="79">
        <f>H47</f>
        <v>3266550.992764389</v>
      </c>
      <c r="D10" s="18" t="s">
        <v>155</v>
      </c>
    </row>
    <row r="11" spans="2:4" x14ac:dyDescent="0.25">
      <c r="B11" s="7" t="s">
        <v>29</v>
      </c>
      <c r="C11" s="68">
        <f>I47</f>
        <v>1873002.8849715344</v>
      </c>
      <c r="D11" s="18" t="s">
        <v>155</v>
      </c>
    </row>
    <row r="12" spans="2:4" x14ac:dyDescent="0.25">
      <c r="B12" s="7" t="s">
        <v>496</v>
      </c>
      <c r="C12" s="81">
        <f>SUM(Measures!$L$6:$L$29)</f>
        <v>69.46665514555775</v>
      </c>
      <c r="D12" s="18" t="s">
        <v>155</v>
      </c>
    </row>
    <row r="13" spans="2:4" x14ac:dyDescent="0.25">
      <c r="B13" s="7" t="s">
        <v>30</v>
      </c>
      <c r="C13" s="82">
        <f>J47</f>
        <v>1.0706319419259875</v>
      </c>
      <c r="D13" s="18" t="s">
        <v>628</v>
      </c>
    </row>
    <row r="14" spans="2:4" x14ac:dyDescent="0.25">
      <c r="B14" s="7" t="s">
        <v>629</v>
      </c>
      <c r="C14" s="79">
        <f>K47</f>
        <v>23587953.959507894</v>
      </c>
      <c r="D14" s="18" t="s">
        <v>630</v>
      </c>
    </row>
    <row r="15" spans="2:4" x14ac:dyDescent="0.25">
      <c r="B15" s="7" t="s">
        <v>32</v>
      </c>
      <c r="C15" s="69">
        <f>L47</f>
        <v>0.9976677226990434</v>
      </c>
      <c r="D15" s="18" t="s">
        <v>631</v>
      </c>
    </row>
    <row r="16" spans="2:4" x14ac:dyDescent="0.25">
      <c r="B16" s="7" t="s">
        <v>33</v>
      </c>
      <c r="C16" s="83">
        <f>O47</f>
        <v>0.3050606888413316</v>
      </c>
      <c r="D16" s="18" t="s">
        <v>632</v>
      </c>
    </row>
    <row r="17" spans="2:4" x14ac:dyDescent="0.25">
      <c r="B17" s="7" t="s">
        <v>633</v>
      </c>
      <c r="C17" s="83">
        <f>P47</f>
        <v>1.744521751648442</v>
      </c>
      <c r="D17" s="18" t="s">
        <v>634</v>
      </c>
    </row>
    <row r="18" spans="2:4" x14ac:dyDescent="0.25">
      <c r="B18" s="7" t="s">
        <v>635</v>
      </c>
      <c r="C18" s="80">
        <f>AnalysisPeriod</f>
        <v>20</v>
      </c>
      <c r="D18" s="18" t="s">
        <v>636</v>
      </c>
    </row>
    <row r="19" spans="2:4" x14ac:dyDescent="0.25">
      <c r="B19" s="7" t="s">
        <v>637</v>
      </c>
      <c r="C19" s="27" t="s">
        <v>72</v>
      </c>
      <c r="D19" s="18" t="s">
        <v>638</v>
      </c>
    </row>
    <row r="21" ht="18" customHeight="1" spans="1:21" x14ac:dyDescent="0.25">
      <c r="A21" s="5" t="s">
        <v>639</v>
      </c>
      <c r="B21" s="5"/>
      <c r="C21" s="5"/>
      <c r="D21" s="5"/>
      <c r="E21" s="5"/>
      <c r="F21" s="5"/>
      <c r="G21" s="5"/>
      <c r="H21" s="5"/>
      <c r="I21" s="5"/>
      <c r="J21" s="5"/>
      <c r="K21" s="5"/>
      <c r="L21" s="5"/>
      <c r="M21" s="5"/>
      <c r="N21" s="5"/>
      <c r="O21" s="5"/>
      <c r="P21" s="5"/>
      <c r="Q21" s="5"/>
      <c r="R21" s="5"/>
      <c r="S21" s="5"/>
      <c r="T21" s="5"/>
      <c r="U21" s="5"/>
    </row>
    <row r="22" ht="44" customHeight="1" spans="1:21" x14ac:dyDescent="0.25">
      <c r="A22" s="15" t="s">
        <v>486</v>
      </c>
      <c r="B22" s="16" t="s">
        <v>487</v>
      </c>
      <c r="C22" s="16" t="s">
        <v>37</v>
      </c>
      <c r="D22" s="16" t="s">
        <v>640</v>
      </c>
      <c r="E22" s="16" t="s">
        <v>504</v>
      </c>
      <c r="F22" s="16" t="s">
        <v>501</v>
      </c>
      <c r="G22" s="16" t="s">
        <v>506</v>
      </c>
      <c r="H22" s="16" t="s">
        <v>28</v>
      </c>
      <c r="I22" s="16" t="s">
        <v>29</v>
      </c>
      <c r="J22" s="16" t="s">
        <v>30</v>
      </c>
      <c r="K22" s="16" t="s">
        <v>629</v>
      </c>
      <c r="L22" s="16" t="s">
        <v>32</v>
      </c>
      <c r="M22" s="16" t="s">
        <v>641</v>
      </c>
      <c r="N22" s="16" t="s">
        <v>642</v>
      </c>
      <c r="O22" s="16" t="s">
        <v>643</v>
      </c>
      <c r="P22" s="16" t="s">
        <v>644</v>
      </c>
      <c r="Q22" s="16" t="s">
        <v>645</v>
      </c>
      <c r="R22" s="16" t="s">
        <v>646</v>
      </c>
      <c r="S22" s="16" t="s">
        <v>647</v>
      </c>
      <c r="T22" s="16" t="s">
        <v>648</v>
      </c>
      <c r="U22" s="16" t="s">
        <v>96</v>
      </c>
    </row>
    <row r="23" spans="1:21" x14ac:dyDescent="0.25">
      <c r="A23" s="73">
        <v>1</v>
      </c>
      <c r="B23" s="6" t="s">
        <v>513</v>
      </c>
      <c r="C23" s="7" t="s">
        <v>40</v>
      </c>
      <c r="D23" s="46">
        <f>MIN(60,MAX(1,ROUND(Measures!$X$6,0)))</f>
        <v>5</v>
      </c>
      <c r="E23" s="84">
        <f>Measures!$T$6</f>
        <v>15000</v>
      </c>
      <c r="F23" s="84">
        <f>Measures!$Q$6</f>
        <v>109789.32135274335</v>
      </c>
      <c r="G23" s="84">
        <f>Measures!$V$6</f>
        <v>0</v>
      </c>
      <c r="H23" s="50">
        <f>F23-G23</f>
        <v>109789.32135274335</v>
      </c>
      <c r="I23" s="64">
        <f>Measures!$J$6</f>
        <v>73358.33723076928</v>
      </c>
      <c r="J23" s="85">
        <f>IF(H23&gt;0,E23/H23,"n/a")</f>
        <v>0.13662530941243667</v>
      </c>
      <c r="K23" s="76">
        <f>CashFlows!$D$9+NPV(DiscountRate,CashFlows!$E$9:$X$9)</f>
        <v>441349.7149906125</v>
      </c>
      <c r="L23" s="65">
        <f>IF(E23&gt;0,IFERROR(IRR(CashFlows!$D$9:$X$9),"n/a"),"n/a")</f>
        <v>7.39903078901798</v>
      </c>
      <c r="M23" s="22" t="s">
        <v>649</v>
      </c>
      <c r="N23" s="48">
        <f>IF(DiscountRate=0,1/D23,DiscountRate*(1+DiscountRate)^D23/((1+DiscountRate)^D23-1))</f>
        <v>0.2774097319410487</v>
      </c>
      <c r="O23" s="52">
        <f>IF(I23&gt;0,(E23*N23+G23)/I23,"n/a")</f>
        <v>0.05672355912356186</v>
      </c>
      <c r="P23" s="86">
        <f>IF(I23&gt;0,Measures!$M$6/I23,"n/a")</f>
        <v>1.4966168195357288</v>
      </c>
      <c r="Q23" s="73">
        <f>IF(AND(ISNUMBER(O23),I23&gt;0),1,0)</f>
        <v>1</v>
      </c>
      <c r="R23" s="86">
        <f>IF(Q23=1,O23,0)</f>
        <v>0.05672355912356186</v>
      </c>
      <c r="S23" s="73">
        <f>IF(Q23=1,1+SUMPRODUCT($Q$23:$Q$46*($R$23:$R$46&lt;R23))+SUMPRODUCT($Q$23:$Q$46*($R$23:$R$46=R23)*(ROW($R$23:$R$46)&lt;ROW())),"")</f>
        <v>4</v>
      </c>
      <c r="T23" s="50">
        <f>IF(Q23=1,O23*I23,0)</f>
        <v>4161.14597911573</v>
      </c>
      <c r="U23" s="27" t="s">
        <v>72</v>
      </c>
    </row>
    <row r="24" spans="1:21" x14ac:dyDescent="0.25">
      <c r="A24" s="73">
        <v>2</v>
      </c>
      <c r="B24" s="6" t="s">
        <v>519</v>
      </c>
      <c r="C24" s="7" t="s">
        <v>40</v>
      </c>
      <c r="D24" s="46">
        <f>MIN(60,MAX(1,ROUND(Measures!$X$7,0)))</f>
        <v>5</v>
      </c>
      <c r="E24" s="84">
        <f>Measures!$T$7</f>
        <v>45000</v>
      </c>
      <c r="F24" s="84">
        <f>Measures!$Q$7</f>
        <v>194759.25557216408</v>
      </c>
      <c r="G24" s="84">
        <f>Measures!$V$7</f>
        <v>24000</v>
      </c>
      <c r="H24" s="50">
        <f>F24-G24</f>
        <v>170759.25557216408</v>
      </c>
      <c r="I24" s="64">
        <f>Measures!$J$7</f>
        <v>130133.01269230765</v>
      </c>
      <c r="J24" s="85">
        <f>IF(H24&gt;0,E24/H24,"n/a")</f>
        <v>0.2635289071108809</v>
      </c>
      <c r="K24" s="76">
        <f>CashFlows!$D$10+NPV(DiscountRate,CashFlows!$E$10:$X$10)</f>
        <v>664777.0225029181</v>
      </c>
      <c r="L24" s="65">
        <f>IF(E24&gt;0,IFERROR(IRR(CashFlows!$D$10:$X$10),"n/a"),"n/a")</f>
        <v>3.8726202095130247</v>
      </c>
      <c r="M24" s="22" t="s">
        <v>649</v>
      </c>
      <c r="N24" s="48">
        <f>IF(DiscountRate=0,1/D24,DiscountRate*(1+DiscountRate)^D24/((1+DiscountRate)^D24-1))</f>
        <v>0.2774097319410487</v>
      </c>
      <c r="O24" s="52">
        <f>IF(I24&gt;0,(E24*N24+G24)/I24,"n/a")</f>
        <v>0.2803549782068772</v>
      </c>
      <c r="P24" s="86">
        <f>IF(I24&gt;0,Measures!$M$7/I24,"n/a")</f>
        <v>1.4966168195357288</v>
      </c>
      <c r="Q24" s="73">
        <f>IF(AND(ISNUMBER(O24),I24&gt;0),1,0)</f>
        <v>1</v>
      </c>
      <c r="R24" s="86">
        <f>IF(Q24=1,O24,0)</f>
        <v>0.2803549782068772</v>
      </c>
      <c r="S24" s="73">
        <f>IF(Q24=1,1+SUMPRODUCT($Q$23:$Q$46*($R$23:$R$46&lt;R24))+SUMPRODUCT($Q$23:$Q$46*($R$23:$R$46=R24)*(ROW($R$23:$R$46)&lt;ROW())),"")</f>
        <v>12</v>
      </c>
      <c r="T24" s="50">
        <f>IF(Q24=1,O24*I24,0)</f>
        <v>36483.43793734719</v>
      </c>
      <c r="U24" s="27" t="s">
        <v>72</v>
      </c>
    </row>
    <row r="25" spans="1:21" x14ac:dyDescent="0.25">
      <c r="A25" s="73">
        <v>3</v>
      </c>
      <c r="B25" s="6" t="s">
        <v>522</v>
      </c>
      <c r="C25" s="7" t="s">
        <v>40</v>
      </c>
      <c r="D25" s="46">
        <f>MIN(60,MAX(1,ROUND(Measures!$X$8,0)))</f>
        <v>15</v>
      </c>
      <c r="E25" s="84">
        <f>Measures!$T$8</f>
        <v>36000</v>
      </c>
      <c r="F25" s="84">
        <f>Measures!$Q$8</f>
        <v>21987.722925259608</v>
      </c>
      <c r="G25" s="84">
        <f>Measures!$V$8</f>
        <v>0</v>
      </c>
      <c r="H25" s="50">
        <f>F25-G25</f>
        <v>21987.722925259608</v>
      </c>
      <c r="I25" s="64">
        <f>Measures!$J$8</f>
        <v>14691.618213993148</v>
      </c>
      <c r="J25" s="85">
        <f>IF(H25&gt;0,E25/H25,"n/a")</f>
        <v>1.637277317090576</v>
      </c>
      <c r="K25" s="76">
        <f>CashFlows!$D$11+NPV(DiscountRate,CashFlows!$E$11:$X$11)</f>
        <v>195122.06008986922</v>
      </c>
      <c r="L25" s="65">
        <f>IF(E25&gt;0,IFERROR(IRR(CashFlows!$D$11:$X$11),"n/a"),"n/a")</f>
        <v>0.6900307912629069</v>
      </c>
      <c r="M25" s="22" t="s">
        <v>649</v>
      </c>
      <c r="N25" s="48">
        <f>IF(DiscountRate=0,1/D25,DiscountRate*(1+DiscountRate)^D25/((1+DiscountRate)^D25-1))</f>
        <v>0.14682423964634625</v>
      </c>
      <c r="O25" s="52">
        <f>IF(I25&gt;0,(E25*N25+G25)/I25,"n/a")</f>
        <v>0.35977470624945074</v>
      </c>
      <c r="P25" s="86">
        <f>IF(I25&gt;0,Measures!$M$8/I25,"n/a")</f>
        <v>1.4966168195357288</v>
      </c>
      <c r="Q25" s="73">
        <f>IF(AND(ISNUMBER(O25),I25&gt;0),1,0)</f>
        <v>1</v>
      </c>
      <c r="R25" s="86">
        <f>IF(Q25=1,O25,0)</f>
        <v>0.35977470624945074</v>
      </c>
      <c r="S25" s="73">
        <f>IF(Q25=1,1+SUMPRODUCT($Q$23:$Q$46*($R$23:$R$46&lt;R25))+SUMPRODUCT($Q$23:$Q$46*($R$23:$R$46=R25)*(ROW($R$23:$R$46)&lt;ROW())),"")</f>
        <v>16</v>
      </c>
      <c r="T25" s="50">
        <f>IF(Q25=1,O25*I25,0)</f>
        <v>5285.672627268465</v>
      </c>
      <c r="U25" s="27" t="s">
        <v>72</v>
      </c>
    </row>
    <row r="26" spans="1:21" x14ac:dyDescent="0.25">
      <c r="A26" s="73">
        <v>4</v>
      </c>
      <c r="B26" s="6" t="s">
        <v>525</v>
      </c>
      <c r="C26" s="7" t="s">
        <v>40</v>
      </c>
      <c r="D26" s="46">
        <f>MIN(60,MAX(1,ROUND(Measures!$X$9,0)))</f>
        <v>15</v>
      </c>
      <c r="E26" s="84">
        <f>Measures!$T$9</f>
        <v>518500</v>
      </c>
      <c r="F26" s="84">
        <f>Measures!$Q$9</f>
        <v>17328.984302658107</v>
      </c>
      <c r="G26" s="84">
        <f>Measures!$V$9</f>
        <v>0</v>
      </c>
      <c r="H26" s="50">
        <f>F26-G26</f>
        <v>17328.984302658107</v>
      </c>
      <c r="I26" s="64">
        <f>Measures!$J$9</f>
        <v>11578.771584321628</v>
      </c>
      <c r="J26" s="85">
        <f>IF(H26&gt;0,E26/H26,"n/a")</f>
        <v>29.920968877585448</v>
      </c>
      <c r="K26" s="76">
        <f>CashFlows!$D$12+NPV(DiscountRate,CashFlows!$E$12:$X$12)</f>
        <v>-336347.870609</v>
      </c>
      <c r="L26" s="65">
        <f>IF(E26&gt;0,IFERROR(IRR(CashFlows!$D$12:$X$12),"n/a"),"n/a")</f>
        <v>-0.010175437315119778</v>
      </c>
      <c r="M26" s="22" t="s">
        <v>649</v>
      </c>
      <c r="N26" s="48">
        <f>IF(DiscountRate=0,1/D26,DiscountRate*(1+DiscountRate)^D26/((1+DiscountRate)^D26-1))</f>
        <v>0.14682423964634625</v>
      </c>
      <c r="O26" s="52">
        <f>IF(I26&gt;0,(E26*N26+G26)/I26,"n/a")</f>
        <v>6.57482252778119</v>
      </c>
      <c r="P26" s="86">
        <f>IF(I26&gt;0,Measures!$M$9/I26,"n/a")</f>
        <v>1.4966168195357288</v>
      </c>
      <c r="Q26" s="73">
        <f>IF(AND(ISNUMBER(O26),I26&gt;0),1,0)</f>
        <v>1</v>
      </c>
      <c r="R26" s="86">
        <f>IF(Q26=1,O26,0)</f>
        <v>6.57482252778119</v>
      </c>
      <c r="S26" s="73">
        <f>IF(Q26=1,1+SUMPRODUCT($Q$23:$Q$46*($R$23:$R$46&lt;R26))+SUMPRODUCT($Q$23:$Q$46*($R$23:$R$46=R26)*(ROW($R$23:$R$46)&lt;ROW())),"")</f>
        <v>23</v>
      </c>
      <c r="T26" s="50">
        <f>IF(Q26=1,O26*I26,0)</f>
        <v>76128.36825663054</v>
      </c>
      <c r="U26" s="27" t="s">
        <v>72</v>
      </c>
    </row>
    <row r="27" spans="1:21" x14ac:dyDescent="0.25">
      <c r="A27" s="73">
        <v>5</v>
      </c>
      <c r="B27" s="6" t="s">
        <v>528</v>
      </c>
      <c r="C27" s="7" t="s">
        <v>47</v>
      </c>
      <c r="D27" s="46">
        <f>MIN(60,MAX(1,ROUND(Measures!$X$10,0)))</f>
        <v>10</v>
      </c>
      <c r="E27" s="84">
        <f>Measures!$T$10</f>
        <v>82500</v>
      </c>
      <c r="F27" s="84">
        <f>Measures!$Q$10</f>
        <v>74560.83370366867</v>
      </c>
      <c r="G27" s="84">
        <f>Measures!$V$10</f>
        <v>825</v>
      </c>
      <c r="H27" s="50">
        <f>F27-G27</f>
        <v>73735.83370366867</v>
      </c>
      <c r="I27" s="64">
        <f>Measures!$J$10</f>
        <v>49819.58824089554</v>
      </c>
      <c r="J27" s="85">
        <f>IF(H27&gt;0,E27/H27,"n/a")</f>
        <v>1.1188589842430339</v>
      </c>
      <c r="K27" s="76">
        <f>CashFlows!$D$13+NPV(DiscountRate,CashFlows!$E$13:$X$13)</f>
        <v>479521.77101026097</v>
      </c>
      <c r="L27" s="65">
        <f>IF(E27&gt;0,IFERROR(IRR(CashFlows!$D$13:$X$13),"n/a"),"n/a")</f>
        <v>0.9715935370690566</v>
      </c>
      <c r="M27" s="22" t="s">
        <v>649</v>
      </c>
      <c r="N27" s="48">
        <f>IF(DiscountRate=0,1/D27,DiscountRate*(1+DiscountRate)^D27/((1+DiscountRate)^D27-1))</f>
        <v>0.17698416415984403</v>
      </c>
      <c r="O27" s="52">
        <f>IF(I27&gt;0,(E27*N27+G27)/I27,"n/a")</f>
        <v>0.3096411288787849</v>
      </c>
      <c r="P27" s="86">
        <f>IF(I27&gt;0,Measures!$M$10/I27,"n/a")</f>
        <v>1.4966168195357288</v>
      </c>
      <c r="Q27" s="73">
        <f>IF(AND(ISNUMBER(O27),I27&gt;0),1,0)</f>
        <v>1</v>
      </c>
      <c r="R27" s="86">
        <f>IF(Q27=1,O27,0)</f>
        <v>0.3096411288787849</v>
      </c>
      <c r="S27" s="73">
        <f>IF(Q27=1,1+SUMPRODUCT($Q$23:$Q$46*($R$23:$R$46&lt;R27))+SUMPRODUCT($Q$23:$Q$46*($R$23:$R$46=R27)*(ROW($R$23:$R$46)&lt;ROW())),"")</f>
        <v>14</v>
      </c>
      <c r="T27" s="50">
        <f>IF(Q27=1,O27*I27,0)</f>
        <v>15426.193543187133</v>
      </c>
      <c r="U27" s="27" t="s">
        <v>72</v>
      </c>
    </row>
    <row r="28" spans="1:21" x14ac:dyDescent="0.25">
      <c r="A28" s="73">
        <v>6</v>
      </c>
      <c r="B28" s="6" t="s">
        <v>531</v>
      </c>
      <c r="C28" s="7" t="s">
        <v>47</v>
      </c>
      <c r="D28" s="46">
        <f>MIN(60,MAX(1,ROUND(Measures!$X$11,0)))</f>
        <v>10</v>
      </c>
      <c r="E28" s="84">
        <f>Measures!$T$11</f>
        <v>98000</v>
      </c>
      <c r="F28" s="84">
        <f>Measures!$Q$11</f>
        <v>131618.62486306572</v>
      </c>
      <c r="G28" s="84">
        <f>Measures!$V$11</f>
        <v>1000</v>
      </c>
      <c r="H28" s="50">
        <f>F28-G28</f>
        <v>130618.62486306572</v>
      </c>
      <c r="I28" s="64">
        <f>Measures!$J$11</f>
        <v>87944.10375789819</v>
      </c>
      <c r="J28" s="85">
        <f>IF(H28&gt;0,E28/H28,"n/a")</f>
        <v>0.7502758515697013</v>
      </c>
      <c r="K28" s="76">
        <f>CashFlows!$D$14+NPV(DiscountRate,CashFlows!$E$14:$X$14)</f>
        <v>897587.9954851941</v>
      </c>
      <c r="L28" s="65">
        <f>IF(E28&gt;0,IFERROR(IRR(CashFlows!$D$14:$X$14),"n/a"),"n/a")</f>
        <v>1.4124120866726115</v>
      </c>
      <c r="M28" s="22" t="s">
        <v>649</v>
      </c>
      <c r="N28" s="48">
        <f>IF(DiscountRate=0,1/D28,DiscountRate*(1+DiscountRate)^D28/((1+DiscountRate)^D28-1))</f>
        <v>0.17698416415984403</v>
      </c>
      <c r="O28" s="52">
        <f>IF(I28&gt;0,(E28*N28+G28)/I28,"n/a")</f>
        <v>0.2085921318632713</v>
      </c>
      <c r="P28" s="86">
        <f>IF(I28&gt;0,Measures!$M$11/I28,"n/a")</f>
        <v>1.4966168195357288</v>
      </c>
      <c r="Q28" s="73">
        <f>IF(AND(ISNUMBER(O28),I28&gt;0),1,0)</f>
        <v>1</v>
      </c>
      <c r="R28" s="86">
        <f>IF(Q28=1,O28,0)</f>
        <v>0.2085921318632713</v>
      </c>
      <c r="S28" s="73">
        <f>IF(Q28=1,1+SUMPRODUCT($Q$23:$Q$46*($R$23:$R$46&lt;R28))+SUMPRODUCT($Q$23:$Q$46*($R$23:$R$46=R28)*(ROW($R$23:$R$46)&lt;ROW())),"")</f>
        <v>8</v>
      </c>
      <c r="T28" s="50">
        <f>IF(Q28=1,O28*I28,0)</f>
        <v>18344.448087664714</v>
      </c>
      <c r="U28" s="27" t="s">
        <v>72</v>
      </c>
    </row>
    <row r="29" spans="1:21" x14ac:dyDescent="0.25">
      <c r="A29" s="73">
        <v>7</v>
      </c>
      <c r="B29" s="6" t="s">
        <v>534</v>
      </c>
      <c r="C29" s="7" t="s">
        <v>47</v>
      </c>
      <c r="D29" s="46">
        <f>MIN(60,MAX(1,ROUND(Measures!$X$12,0)))</f>
        <v>10</v>
      </c>
      <c r="E29" s="84">
        <f>Measures!$T$12</f>
        <v>19800</v>
      </c>
      <c r="F29" s="84">
        <f>Measures!$Q$12</f>
        <v>8552.488863128814</v>
      </c>
      <c r="G29" s="84">
        <f>Measures!$V$12</f>
        <v>0</v>
      </c>
      <c r="H29" s="50">
        <f>F29-G29</f>
        <v>8552.488863128814</v>
      </c>
      <c r="I29" s="64">
        <f>Measures!$J$12</f>
        <v>5714.548140506609</v>
      </c>
      <c r="J29" s="85">
        <f>IF(H29&gt;0,E29/H29,"n/a")</f>
        <v>2.315115554883802</v>
      </c>
      <c r="K29" s="76">
        <f>CashFlows!$D$15+NPV(DiscountRate,CashFlows!$E$15:$X$15)</f>
        <v>45387.91062590287</v>
      </c>
      <c r="L29" s="65">
        <f>IF(E29&gt;0,IFERROR(IRR(CashFlows!$D$15:$X$15),"n/a"),"n/a")</f>
        <v>0.4952513226043812</v>
      </c>
      <c r="M29" s="22" t="s">
        <v>649</v>
      </c>
      <c r="N29" s="48">
        <f>IF(DiscountRate=0,1/D29,DiscountRate*(1+DiscountRate)^D29/((1+DiscountRate)^D29-1))</f>
        <v>0.17698416415984403</v>
      </c>
      <c r="O29" s="52">
        <f>IF(I29&gt;0,(E29*N29+G29)/I29,"n/a")</f>
        <v>0.6132219668472768</v>
      </c>
      <c r="P29" s="86">
        <f>IF(I29&gt;0,Measures!$M$12/I29,"n/a")</f>
        <v>1.4966168195357288</v>
      </c>
      <c r="Q29" s="73">
        <f>IF(AND(ISNUMBER(O29),I29&gt;0),1,0)</f>
        <v>1</v>
      </c>
      <c r="R29" s="86">
        <f>IF(Q29=1,O29,0)</f>
        <v>0.6132219668472768</v>
      </c>
      <c r="S29" s="73">
        <f>IF(Q29=1,1+SUMPRODUCT($Q$23:$Q$46*($R$23:$R$46&lt;R29))+SUMPRODUCT($Q$23:$Q$46*($R$23:$R$46=R29)*(ROW($R$23:$R$46)&lt;ROW())),"")</f>
        <v>22</v>
      </c>
      <c r="T29" s="50">
        <f>IF(Q29=1,O29*I29,0)</f>
        <v>3504.286450364911</v>
      </c>
      <c r="U29" s="27" t="s">
        <v>72</v>
      </c>
    </row>
    <row r="30" spans="1:21" x14ac:dyDescent="0.25">
      <c r="A30" s="73">
        <v>8</v>
      </c>
      <c r="B30" s="6" t="s">
        <v>537</v>
      </c>
      <c r="C30" s="7" t="s">
        <v>43</v>
      </c>
      <c r="D30" s="46">
        <f>MIN(60,MAX(1,ROUND(Measures!$X$13,0)))</f>
        <v>10</v>
      </c>
      <c r="E30" s="84">
        <f>Measures!$T$13</f>
        <v>130000</v>
      </c>
      <c r="F30" s="84">
        <f>Measures!$Q$13</f>
        <v>136259.4487142335</v>
      </c>
      <c r="G30" s="84">
        <f>Measures!$V$13</f>
        <v>0</v>
      </c>
      <c r="H30" s="50">
        <f>F30-G30</f>
        <v>136259.4487142335</v>
      </c>
      <c r="I30" s="64">
        <f>Measures!$J$13</f>
        <v>91044.98020842974</v>
      </c>
      <c r="J30" s="85">
        <f>IF(H30&gt;0,E30/H30,"n/a")</f>
        <v>0.9540622777113904</v>
      </c>
      <c r="K30" s="76">
        <f>CashFlows!$D$16+NPV(DiscountRate,CashFlows!$E$16:$X$16)</f>
        <v>908582.9092408447</v>
      </c>
      <c r="L30" s="65">
        <f>IF(E30&gt;0,IFERROR(IRR(CashFlows!$D$16:$X$16),"n/a"),"n/a")</f>
        <v>1.1269554057181268</v>
      </c>
      <c r="M30" s="22" t="s">
        <v>649</v>
      </c>
      <c r="N30" s="48">
        <f>IF(DiscountRate=0,1/D30,DiscountRate*(1+DiscountRate)^D30/((1+DiscountRate)^D30-1))</f>
        <v>0.17698416415984403</v>
      </c>
      <c r="O30" s="52">
        <f>IF(I30&gt;0,(E30*N30+G30)/I30,"n/a")</f>
        <v>0.2527096088999912</v>
      </c>
      <c r="P30" s="86">
        <f>IF(I30&gt;0,Measures!$M$13/I30,"n/a")</f>
        <v>1.4966168195357288</v>
      </c>
      <c r="Q30" s="73">
        <f>IF(AND(ISNUMBER(O30),I30&gt;0),1,0)</f>
        <v>1</v>
      </c>
      <c r="R30" s="86">
        <f>IF(Q30=1,O30,0)</f>
        <v>0.2527096088999912</v>
      </c>
      <c r="S30" s="73">
        <f>IF(Q30=1,1+SUMPRODUCT($Q$23:$Q$46*($R$23:$R$46&lt;R30))+SUMPRODUCT($Q$23:$Q$46*($R$23:$R$46=R30)*(ROW($R$23:$R$46)&lt;ROW())),"")</f>
        <v>10</v>
      </c>
      <c r="T30" s="50">
        <f>IF(Q30=1,O30*I30,0)</f>
        <v>23007.941340779722</v>
      </c>
      <c r="U30" s="27" t="s">
        <v>72</v>
      </c>
    </row>
    <row r="31" spans="1:21" x14ac:dyDescent="0.25">
      <c r="A31" s="73">
        <v>9</v>
      </c>
      <c r="B31" s="6" t="s">
        <v>541</v>
      </c>
      <c r="C31" s="7" t="s">
        <v>43</v>
      </c>
      <c r="D31" s="46">
        <f>MIN(60,MAX(1,ROUND(Measures!$X$14,0)))</f>
        <v>15</v>
      </c>
      <c r="E31" s="84">
        <f>Measures!$T$14</f>
        <v>200297.42943548385</v>
      </c>
      <c r="F31" s="84">
        <f>Measures!$Q$14</f>
        <v>235872.7457716867</v>
      </c>
      <c r="G31" s="84">
        <f>Measures!$V$14</f>
        <v>0</v>
      </c>
      <c r="H31" s="50">
        <f>F31-G31</f>
        <v>235872.7457716867</v>
      </c>
      <c r="I31" s="64">
        <f>Measures!$J$14</f>
        <v>126494.11422903377</v>
      </c>
      <c r="J31" s="85">
        <f>IF(H31&gt;0,E31/H31,"n/a")</f>
        <v>0.849175807828862</v>
      </c>
      <c r="K31" s="76">
        <f>CashFlows!$D$17+NPV(DiscountRate,CashFlows!$E$17:$X$17)</f>
        <v>2279058.668834185</v>
      </c>
      <c r="L31" s="65">
        <f>IF(E31&gt;0,IFERROR(IRR(CashFlows!$D$17:$X$17),"n/a"),"n/a")</f>
        <v>1.25759392454047</v>
      </c>
      <c r="M31" s="22" t="s">
        <v>649</v>
      </c>
      <c r="N31" s="48">
        <f>IF(DiscountRate=0,1/D31,DiscountRate*(1+DiscountRate)^D31/((1+DiscountRate)^D31-1))</f>
        <v>0.14682423964634625</v>
      </c>
      <c r="O31" s="52">
        <f>IF(I31&gt;0,(E31*N31+G31)/I31,"n/a")</f>
        <v>0.2324892186424953</v>
      </c>
      <c r="P31" s="86">
        <f>IF(I31&gt;0,Measures!$M$14/I31,"n/a")</f>
        <v>1.8646934460887952</v>
      </c>
      <c r="Q31" s="73">
        <f>IF(AND(ISNUMBER(O31),I31&gt;0),1,0)</f>
        <v>1</v>
      </c>
      <c r="R31" s="86">
        <f>IF(Q31=1,O31,0)</f>
        <v>0.2324892186424953</v>
      </c>
      <c r="S31" s="73">
        <f>IF(Q31=1,1+SUMPRODUCT($Q$23:$Q$46*($R$23:$R$46&lt;R31))+SUMPRODUCT($Q$23:$Q$46*($R$23:$R$46=R31)*(ROW($R$23:$R$46)&lt;ROW())),"")</f>
        <v>9</v>
      </c>
      <c r="T31" s="50">
        <f>IF(Q31=1,O31*I31,0)</f>
        <v>29408.51777998261</v>
      </c>
      <c r="U31" s="27" t="s">
        <v>72</v>
      </c>
    </row>
    <row r="32" spans="1:21" x14ac:dyDescent="0.25">
      <c r="A32" s="73">
        <v>10</v>
      </c>
      <c r="B32" s="6" t="s">
        <v>545</v>
      </c>
      <c r="C32" s="7" t="s">
        <v>46</v>
      </c>
      <c r="D32" s="46">
        <f>MIN(60,MAX(1,ROUND(Measures!$X$15,0)))</f>
        <v>10</v>
      </c>
      <c r="E32" s="84">
        <f>Measures!$T$15</f>
        <v>85000</v>
      </c>
      <c r="F32" s="84">
        <f>Measures!$Q$15</f>
        <v>158828.526979217</v>
      </c>
      <c r="G32" s="84">
        <f>Measures!$V$15</f>
        <v>8000</v>
      </c>
      <c r="H32" s="50">
        <f>F32-G32</f>
        <v>150828.526979217</v>
      </c>
      <c r="I32" s="64">
        <f>Measures!$J$15</f>
        <v>85176.74972921726</v>
      </c>
      <c r="J32" s="85">
        <f>IF(H32&gt;0,E32/H32,"n/a")</f>
        <v>0.5635538694328849</v>
      </c>
      <c r="K32" s="76">
        <f>CashFlows!$D$18+NPV(DiscountRate,CashFlows!$E$18:$X$18)</f>
        <v>1064629.8555787653</v>
      </c>
      <c r="L32" s="65">
        <f>IF(E32&gt;0,IFERROR(IRR(CashFlows!$D$18:$X$18),"n/a"),"n/a")</f>
        <v>1.8543465412051776</v>
      </c>
      <c r="M32" s="22" t="s">
        <v>649</v>
      </c>
      <c r="N32" s="48">
        <f>IF(DiscountRate=0,1/D32,DiscountRate*(1+DiscountRate)^D32/((1+DiscountRate)^D32-1))</f>
        <v>0.17698416415984403</v>
      </c>
      <c r="O32" s="52">
        <f>IF(I32&gt;0,(E32*N32+G32)/I32,"n/a")</f>
        <v>0.27053924958212305</v>
      </c>
      <c r="P32" s="86">
        <f>IF(I32&gt;0,Measures!$M$15/I32,"n/a")</f>
        <v>1.8646934460887952</v>
      </c>
      <c r="Q32" s="73">
        <f>IF(AND(ISNUMBER(O32),I32&gt;0),1,0)</f>
        <v>1</v>
      </c>
      <c r="R32" s="86">
        <f>IF(Q32=1,O32,0)</f>
        <v>0.27053924958212305</v>
      </c>
      <c r="S32" s="73">
        <f>IF(Q32=1,1+SUMPRODUCT($Q$23:$Q$46*($R$23:$R$46&lt;R32))+SUMPRODUCT($Q$23:$Q$46*($R$23:$R$46=R32)*(ROW($R$23:$R$46)&lt;ROW())),"")</f>
        <v>11</v>
      </c>
      <c r="T32" s="50">
        <f>IF(Q32=1,O32*I32,0)</f>
        <v>23043.65395358674</v>
      </c>
      <c r="U32" s="27" t="s">
        <v>72</v>
      </c>
    </row>
    <row r="33" spans="1:21" x14ac:dyDescent="0.25">
      <c r="A33" s="73">
        <v>11</v>
      </c>
      <c r="B33" s="6" t="s">
        <v>548</v>
      </c>
      <c r="C33" s="7" t="s">
        <v>46</v>
      </c>
      <c r="D33" s="46">
        <f>MIN(60,MAX(1,ROUND(Measures!$X$16,0)))</f>
        <v>5</v>
      </c>
      <c r="E33" s="84">
        <f>Measures!$T$16</f>
        <v>42000</v>
      </c>
      <c r="F33" s="84">
        <f>Measures!$Q$16</f>
        <v>261999.3802999338</v>
      </c>
      <c r="G33" s="84">
        <f>Measures!$V$16</f>
        <v>15000</v>
      </c>
      <c r="H33" s="50">
        <f>F33-G33</f>
        <v>246999.3802999338</v>
      </c>
      <c r="I33" s="64">
        <f>Measures!$J$16</f>
        <v>140505.33660075814</v>
      </c>
      <c r="J33" s="85">
        <f>IF(H33&gt;0,E33/H33,"n/a")</f>
        <v>0.17004091244682065</v>
      </c>
      <c r="K33" s="76">
        <f>CashFlows!$D$19+NPV(DiscountRate,CashFlows!$E$19:$X$19)</f>
        <v>984676.3234702895</v>
      </c>
      <c r="L33" s="65">
        <f>IF(E33&gt;0,IFERROR(IRR(CashFlows!$D$19:$X$19),"n/a"),"n/a")</f>
        <v>5.960408704174279</v>
      </c>
      <c r="M33" s="22" t="s">
        <v>649</v>
      </c>
      <c r="N33" s="48">
        <f>IF(DiscountRate=0,1/D33,DiscountRate*(1+DiscountRate)^D33/((1+DiscountRate)^D33-1))</f>
        <v>0.2774097319410487</v>
      </c>
      <c r="O33" s="52">
        <f>IF(I33&gt;0,(E33*N33+G33)/I33,"n/a")</f>
        <v>0.18968111380176744</v>
      </c>
      <c r="P33" s="86">
        <f>IF(I33&gt;0,Measures!$M$16/I33,"n/a")</f>
        <v>1.8646934460887952</v>
      </c>
      <c r="Q33" s="73">
        <f>IF(AND(ISNUMBER(O33),I33&gt;0),1,0)</f>
        <v>1</v>
      </c>
      <c r="R33" s="86">
        <f>IF(Q33=1,O33,0)</f>
        <v>0.18968111380176744</v>
      </c>
      <c r="S33" s="73">
        <f>IF(Q33=1,1+SUMPRODUCT($Q$23:$Q$46*($R$23:$R$46&lt;R33))+SUMPRODUCT($Q$23:$Q$46*($R$23:$R$46=R33)*(ROW($R$23:$R$46)&lt;ROW())),"")</f>
        <v>7</v>
      </c>
      <c r="T33" s="50">
        <f>IF(Q33=1,O33*I33,0)</f>
        <v>26651.208741524046</v>
      </c>
      <c r="U33" s="27" t="s">
        <v>72</v>
      </c>
    </row>
    <row r="34" spans="1:21" x14ac:dyDescent="0.25">
      <c r="A34" s="73">
        <v>12</v>
      </c>
      <c r="B34" s="6" t="s">
        <v>550</v>
      </c>
      <c r="C34" s="7" t="s">
        <v>46</v>
      </c>
      <c r="D34" s="46">
        <f>MIN(60,MAX(1,ROUND(Measures!$X$17,0)))</f>
        <v>3</v>
      </c>
      <c r="E34" s="84">
        <f>Measures!$T$17</f>
        <v>7000</v>
      </c>
      <c r="F34" s="84">
        <f>Measures!$Q$17</f>
        <v>111786.40226130583</v>
      </c>
      <c r="G34" s="84">
        <f>Measures!$V$17</f>
        <v>0</v>
      </c>
      <c r="H34" s="50">
        <f>F34-G34</f>
        <v>111786.40226130583</v>
      </c>
      <c r="I34" s="64">
        <f>Measures!$J$17</f>
        <v>59948.94361632387</v>
      </c>
      <c r="J34" s="85">
        <f>IF(H34&gt;0,E34/H34,"n/a")</f>
        <v>0.0626194229208413</v>
      </c>
      <c r="K34" s="76">
        <f>CashFlows!$D$20+NPV(DiscountRate,CashFlows!$E$20:$X$20)</f>
        <v>281861.31870775204</v>
      </c>
      <c r="L34" s="65">
        <f>IF(E34&gt;0,IFERROR(IRR(CashFlows!$D$20:$X$20),"n/a"),"n/a")</f>
        <v>16.04542404802197</v>
      </c>
      <c r="M34" s="22" t="s">
        <v>649</v>
      </c>
      <c r="N34" s="48">
        <f>IF(DiscountRate=0,1/D34,DiscountRate*(1+DiscountRate)^D34/((1+DiscountRate)^D34-1))</f>
        <v>0.4163489805595066</v>
      </c>
      <c r="O34" s="52">
        <f>IF(I34&gt;0,(E34*N34+G34)/I34,"n/a")</f>
        <v>0.0486154165212505</v>
      </c>
      <c r="P34" s="86">
        <f>IF(I34&gt;0,Measures!$M$17/I34,"n/a")</f>
        <v>1.8646934460887952</v>
      </c>
      <c r="Q34" s="73">
        <f>IF(AND(ISNUMBER(O34),I34&gt;0),1,0)</f>
        <v>1</v>
      </c>
      <c r="R34" s="86">
        <f>IF(Q34=1,O34,0)</f>
        <v>0.0486154165212505</v>
      </c>
      <c r="S34" s="73">
        <f>IF(Q34=1,1+SUMPRODUCT($Q$23:$Q$46*($R$23:$R$46&lt;R34))+SUMPRODUCT($Q$23:$Q$46*($R$23:$R$46=R34)*(ROW($R$23:$R$46)&lt;ROW())),"")</f>
        <v>1</v>
      </c>
      <c r="T34" s="50">
        <f>IF(Q34=1,O34*I34,0)</f>
        <v>2914.4428639165462</v>
      </c>
      <c r="U34" s="27" t="s">
        <v>72</v>
      </c>
    </row>
    <row r="35" spans="1:21" x14ac:dyDescent="0.25">
      <c r="A35" s="73">
        <v>13</v>
      </c>
      <c r="B35" s="6" t="s">
        <v>552</v>
      </c>
      <c r="C35" s="7" t="s">
        <v>46</v>
      </c>
      <c r="D35" s="46">
        <f>MIN(60,MAX(1,ROUND(Measures!$X$18,0)))</f>
        <v>20</v>
      </c>
      <c r="E35" s="84">
        <f>Measures!$T$18</f>
        <v>67200</v>
      </c>
      <c r="F35" s="84">
        <f>Measures!$Q$18</f>
        <v>338869.984154804</v>
      </c>
      <c r="G35" s="84">
        <f>Measures!$V$18</f>
        <v>0</v>
      </c>
      <c r="H35" s="50">
        <f>F35-G35</f>
        <v>338869.984154804</v>
      </c>
      <c r="I35" s="64">
        <f>Measures!$J$18</f>
        <v>181729.59467712278</v>
      </c>
      <c r="J35" s="85">
        <f>IF(H35&gt;0,E35/H35,"n/a")</f>
        <v>0.1983061443686361</v>
      </c>
      <c r="K35" s="76">
        <f>CashFlows!$D$21+NPV(DiscountRate,CashFlows!$E$21:$X$21)</f>
        <v>4311115.840739944</v>
      </c>
      <c r="L35" s="65">
        <f>IF(E35&gt;0,IFERROR(IRR(CashFlows!$D$21:$X$21),"n/a"),"n/a")</f>
        <v>5.122708097541638</v>
      </c>
      <c r="M35" s="22" t="s">
        <v>649</v>
      </c>
      <c r="N35" s="48">
        <f>IF(DiscountRate=0,1/D35,DiscountRate*(1+DiscountRate)^D35/((1+DiscountRate)^D35-1))</f>
        <v>0.13387878003966064</v>
      </c>
      <c r="O35" s="52">
        <f>IF(I35&gt;0,(E35*N35+G35)/I35,"n/a")</f>
        <v>0.049505717737661076</v>
      </c>
      <c r="P35" s="86">
        <f>IF(I35&gt;0,Measures!$M$18/I35,"n/a")</f>
        <v>1.8646934460887952</v>
      </c>
      <c r="Q35" s="73">
        <f>IF(AND(ISNUMBER(O35),I35&gt;0),1,0)</f>
        <v>1</v>
      </c>
      <c r="R35" s="86">
        <f>IF(Q35=1,O35,0)</f>
        <v>0.049505717737661076</v>
      </c>
      <c r="S35" s="73">
        <f>IF(Q35=1,1+SUMPRODUCT($Q$23:$Q$46*($R$23:$R$46&lt;R35))+SUMPRODUCT($Q$23:$Q$46*($R$23:$R$46=R35)*(ROW($R$23:$R$46)&lt;ROW())),"")</f>
        <v>2</v>
      </c>
      <c r="T35" s="50">
        <f>IF(Q35=1,O35*I35,0)</f>
        <v>8996.654018665195</v>
      </c>
      <c r="U35" s="27" t="s">
        <v>72</v>
      </c>
    </row>
    <row r="36" spans="1:21" x14ac:dyDescent="0.25">
      <c r="A36" s="73">
        <v>14</v>
      </c>
      <c r="B36" s="6" t="s">
        <v>554</v>
      </c>
      <c r="C36" s="7" t="s">
        <v>46</v>
      </c>
      <c r="D36" s="46">
        <f>MIN(60,MAX(1,ROUND(Measures!$X$19,0)))</f>
        <v>15</v>
      </c>
      <c r="E36" s="84">
        <f>Measures!$T$19</f>
        <v>769780.6214583333</v>
      </c>
      <c r="F36" s="84">
        <f>Measures!$Q$19</f>
        <v>459701.989945614</v>
      </c>
      <c r="G36" s="84">
        <f>Measures!$V$19</f>
        <v>0</v>
      </c>
      <c r="H36" s="50">
        <f>F36-G36</f>
        <v>459701.989945614</v>
      </c>
      <c r="I36" s="64">
        <f>Measures!$J$19</f>
        <v>233672.30441710108</v>
      </c>
      <c r="J36" s="85">
        <f>IF(H36&gt;0,E36/H36,"n/a")</f>
        <v>1.6745209685722784</v>
      </c>
      <c r="K36" s="76">
        <f>CashFlows!$D$22+NPV(DiscountRate,CashFlows!$E$22:$X$22)</f>
        <v>4062337.3429528535</v>
      </c>
      <c r="L36" s="65">
        <f>IF(E36&gt;0,IFERROR(IRR(CashFlows!$D$22:$X$22),"n/a"),"n/a")</f>
        <v>0.6763692812757653</v>
      </c>
      <c r="M36" s="22" t="s">
        <v>649</v>
      </c>
      <c r="N36" s="48">
        <f>IF(DiscountRate=0,1/D36,DiscountRate*(1+DiscountRate)^D36/((1+DiscountRate)^D36-1))</f>
        <v>0.14682423964634625</v>
      </c>
      <c r="O36" s="52">
        <f>IF(I36&gt;0,(E36*N36+G36)/I36,"n/a")</f>
        <v>0.48367929062901915</v>
      </c>
      <c r="P36" s="86">
        <f>IF(I36&gt;0,Measures!$M$19/I36,"n/a")</f>
        <v>1.9672934329652254</v>
      </c>
      <c r="Q36" s="73">
        <f>IF(AND(ISNUMBER(O36),I36&gt;0),1,0)</f>
        <v>1</v>
      </c>
      <c r="R36" s="86">
        <f>IF(Q36=1,O36,0)</f>
        <v>0.48367929062901915</v>
      </c>
      <c r="S36" s="73">
        <f>IF(Q36=1,1+SUMPRODUCT($Q$23:$Q$46*($R$23:$R$46&lt;R36))+SUMPRODUCT($Q$23:$Q$46*($R$23:$R$46=R36)*(ROW($R$23:$R$46)&lt;ROW())),"")</f>
        <v>18</v>
      </c>
      <c r="T36" s="50">
        <f>IF(Q36=1,O36*I36,0)</f>
        <v>113022.45444011167</v>
      </c>
      <c r="U36" s="27" t="s">
        <v>72</v>
      </c>
    </row>
    <row r="37" spans="1:21" x14ac:dyDescent="0.25">
      <c r="A37" s="73">
        <v>15</v>
      </c>
      <c r="B37" s="6" t="s">
        <v>557</v>
      </c>
      <c r="C37" s="7" t="s">
        <v>46</v>
      </c>
      <c r="D37" s="46">
        <f>MIN(60,MAX(1,ROUND(Measures!$X$20,0)))</f>
        <v>15</v>
      </c>
      <c r="E37" s="84">
        <f>Measures!$T$20</f>
        <v>250000</v>
      </c>
      <c r="F37" s="84">
        <f>Measures!$Q$20</f>
        <v>77918.79932540708</v>
      </c>
      <c r="G37" s="84">
        <f>Measures!$V$20</f>
        <v>-22270.52483790146</v>
      </c>
      <c r="H37" s="50">
        <f>F37-G37</f>
        <v>100189.32416330854</v>
      </c>
      <c r="I37" s="64">
        <f>Measures!$J$20</f>
        <v>41786.38557927159</v>
      </c>
      <c r="J37" s="85">
        <f>IF(H37&gt;0,E37/H37,"n/a")</f>
        <v>2.4952758398938806</v>
      </c>
      <c r="K37" s="76">
        <f>CashFlows!$D$23+NPV(DiscountRate,CashFlows!$E$23:$X$23)</f>
        <v>803131.4715192219</v>
      </c>
      <c r="L37" s="65">
        <f>IF(E37&gt;0,IFERROR(IRR(CashFlows!$D$23:$X$23),"n/a"),"n/a")</f>
        <v>0.4771006199540716</v>
      </c>
      <c r="M37" s="22" t="s">
        <v>649</v>
      </c>
      <c r="N37" s="48">
        <f>IF(DiscountRate=0,1/D37,DiscountRate*(1+DiscountRate)^D37/((1+DiscountRate)^D37-1))</f>
        <v>0.14682423964634625</v>
      </c>
      <c r="O37" s="52">
        <f>IF(I37&gt;0,(E37*N37+G37)/I37,"n/a")</f>
        <v>0.3454602467662564</v>
      </c>
      <c r="P37" s="86">
        <f>IF(I37&gt;0,Measures!$M$20/I37,"n/a")</f>
        <v>1.8646934460887952</v>
      </c>
      <c r="Q37" s="73">
        <f>IF(AND(ISNUMBER(O37),I37&gt;0),1,0)</f>
        <v>1</v>
      </c>
      <c r="R37" s="86">
        <f>IF(Q37=1,O37,0)</f>
        <v>0.3454602467662564</v>
      </c>
      <c r="S37" s="73">
        <f>IF(Q37=1,1+SUMPRODUCT($Q$23:$Q$46*($R$23:$R$46&lt;R37))+SUMPRODUCT($Q$23:$Q$46*($R$23:$R$46=R37)*(ROW($R$23:$R$46)&lt;ROW())),"")</f>
        <v>15</v>
      </c>
      <c r="T37" s="50">
        <f>IF(Q37=1,O37*I37,0)</f>
        <v>14435.535073685103</v>
      </c>
      <c r="U37" s="27" t="s">
        <v>72</v>
      </c>
    </row>
    <row r="38" spans="1:21" x14ac:dyDescent="0.25">
      <c r="A38" s="73">
        <v>16</v>
      </c>
      <c r="B38" s="6" t="s">
        <v>559</v>
      </c>
      <c r="C38" s="7" t="s">
        <v>46</v>
      </c>
      <c r="D38" s="46">
        <f>MIN(60,MAX(1,ROUND(Measures!$X$21,0)))</f>
        <v>20</v>
      </c>
      <c r="E38" s="84">
        <f>Measures!$T$21</f>
        <v>176634.91262439443</v>
      </c>
      <c r="F38" s="84">
        <f>Measures!$Q$21</f>
        <v>146639.82272049048</v>
      </c>
      <c r="G38" s="84">
        <f>Measures!$V$21</f>
        <v>0</v>
      </c>
      <c r="H38" s="50">
        <f>F38-G38</f>
        <v>146639.82272049048</v>
      </c>
      <c r="I38" s="64">
        <f>Measures!$J$21</f>
        <v>78640.17703717912</v>
      </c>
      <c r="J38" s="85">
        <f>IF(H38&gt;0,E38/H38,"n/a")</f>
        <v>1.2045494146639653</v>
      </c>
      <c r="K38" s="76">
        <f>CashFlows!$D$24+NPV(DiscountRate,CashFlows!$E$24:$X$24)</f>
        <v>1718001.640393896</v>
      </c>
      <c r="L38" s="65">
        <f>IF(E38&gt;0,IFERROR(IRR(CashFlows!$D$24:$X$24),"n/a"),"n/a")</f>
        <v>0.9101766990809848</v>
      </c>
      <c r="M38" s="22" t="s">
        <v>649</v>
      </c>
      <c r="N38" s="48">
        <f>IF(DiscountRate=0,1/D38,DiscountRate*(1+DiscountRate)^D38/((1+DiscountRate)^D38-1))</f>
        <v>0.13387878003966064</v>
      </c>
      <c r="O38" s="52">
        <f>IF(I38&gt;0,(E38*N38+G38)/I38,"n/a")</f>
        <v>0.30070718944828867</v>
      </c>
      <c r="P38" s="86">
        <f>IF(I38&gt;0,Measures!$M$21/I38,"n/a")</f>
        <v>1.8646934460887954</v>
      </c>
      <c r="Q38" s="73">
        <f>IF(AND(ISNUMBER(O38),I38&gt;0),1,0)</f>
        <v>1</v>
      </c>
      <c r="R38" s="86">
        <f>IF(Q38=1,O38,0)</f>
        <v>0.30070718944828867</v>
      </c>
      <c r="S38" s="73">
        <f>IF(Q38=1,1+SUMPRODUCT($Q$23:$Q$46*($R$23:$R$46&lt;R38))+SUMPRODUCT($Q$23:$Q$46*($R$23:$R$46=R38)*(ROW($R$23:$R$46)&lt;ROW())),"")</f>
        <v>13</v>
      </c>
      <c r="T38" s="50">
        <f>IF(Q38=1,O38*I38,0)</f>
        <v>23647.666614565984</v>
      </c>
      <c r="U38" s="27" t="s">
        <v>72</v>
      </c>
    </row>
    <row r="39" spans="1:21" x14ac:dyDescent="0.25">
      <c r="A39" s="73">
        <v>17</v>
      </c>
      <c r="B39" s="6" t="s">
        <v>562</v>
      </c>
      <c r="C39" s="7" t="s">
        <v>48</v>
      </c>
      <c r="D39" s="46">
        <f>MIN(60,MAX(1,ROUND(Measures!$X$22,0)))</f>
        <v>5</v>
      </c>
      <c r="E39" s="84">
        <f>Measures!$T$22</f>
        <v>13000</v>
      </c>
      <c r="F39" s="84">
        <f>Measures!$Q$22</f>
        <v>290781.71796259074</v>
      </c>
      <c r="G39" s="84">
        <f>Measures!$V$22</f>
        <v>8000</v>
      </c>
      <c r="H39" s="50">
        <f>F39-G39</f>
        <v>282781.71796259074</v>
      </c>
      <c r="I39" s="64">
        <f>Measures!$J$22</f>
        <v>155940.76258084513</v>
      </c>
      <c r="J39" s="85">
        <f>IF(H39&gt;0,E39/H39,"n/a")</f>
        <v>0.045971854523211335</v>
      </c>
      <c r="K39" s="76">
        <f>CashFlows!$D$25+NPV(DiscountRate,CashFlows!$E$25:$X$25)</f>
        <v>1162408.9997711738</v>
      </c>
      <c r="L39" s="65">
        <f>IF(E39&gt;0,IFERROR(IRR(CashFlows!$D$25:$X$25),"n/a"),"n/a")</f>
        <v>21.832434692583604</v>
      </c>
      <c r="M39" s="22" t="s">
        <v>649</v>
      </c>
      <c r="N39" s="48">
        <f>IF(DiscountRate=0,1/D39,DiscountRate*(1+DiscountRate)^D39/((1+DiscountRate)^D39-1))</f>
        <v>0.2774097319410487</v>
      </c>
      <c r="O39" s="52">
        <f>IF(I39&gt;0,(E39*N39+G39)/I39,"n/a")</f>
        <v>0.07442779118908378</v>
      </c>
      <c r="P39" s="86">
        <f>IF(I39&gt;0,Measures!$M$22/I39,"n/a")</f>
        <v>1.8646934460887952</v>
      </c>
      <c r="Q39" s="73">
        <f>IF(AND(ISNUMBER(O39),I39&gt;0),1,0)</f>
        <v>1</v>
      </c>
      <c r="R39" s="86">
        <f>IF(Q39=1,O39,0)</f>
        <v>0.07442779118908378</v>
      </c>
      <c r="S39" s="73">
        <f>IF(Q39=1,1+SUMPRODUCT($Q$23:$Q$46*($R$23:$R$46&lt;R39))+SUMPRODUCT($Q$23:$Q$46*($R$23:$R$46=R39)*(ROW($R$23:$R$46)&lt;ROW())),"")</f>
        <v>6</v>
      </c>
      <c r="T39" s="50">
        <f>IF(Q39=1,O39*I39,0)</f>
        <v>11606.326515233632</v>
      </c>
      <c r="U39" s="27" t="s">
        <v>72</v>
      </c>
    </row>
    <row r="40" spans="1:21" x14ac:dyDescent="0.25">
      <c r="A40" s="73">
        <v>18</v>
      </c>
      <c r="B40" s="6" t="s">
        <v>565</v>
      </c>
      <c r="C40" s="7" t="s">
        <v>48</v>
      </c>
      <c r="D40" s="46">
        <f>MIN(60,MAX(1,ROUND(Measures!$X$23,0)))</f>
        <v>15</v>
      </c>
      <c r="E40" s="84">
        <f>Measures!$T$23</f>
        <v>10950</v>
      </c>
      <c r="F40" s="84">
        <f>Measures!$Q$23</f>
        <v>54450.67439490705</v>
      </c>
      <c r="G40" s="84">
        <f>Measures!$V$23</f>
        <v>0</v>
      </c>
      <c r="H40" s="50">
        <f>F40-G40</f>
        <v>54450.67439490705</v>
      </c>
      <c r="I40" s="64">
        <f>Measures!$J$23</f>
        <v>29200.871869377588</v>
      </c>
      <c r="J40" s="85">
        <f>IF(H40&gt;0,E40/H40,"n/a")</f>
        <v>0.20109943764120192</v>
      </c>
      <c r="K40" s="76">
        <f>CashFlows!$D$26+NPV(DiscountRate,CashFlows!$E$26:$X$26)</f>
        <v>561403.5848715005</v>
      </c>
      <c r="L40" s="65">
        <f>IF(E40&gt;0,IFERROR(IRR(CashFlows!$D$26:$X$26),"n/a"),"n/a")</f>
        <v>5.0526643282725665</v>
      </c>
      <c r="M40" s="22" t="s">
        <v>649</v>
      </c>
      <c r="N40" s="48">
        <f>IF(DiscountRate=0,1/D40,DiscountRate*(1+DiscountRate)^D40/((1+DiscountRate)^D40-1))</f>
        <v>0.14682423964634625</v>
      </c>
      <c r="O40" s="52">
        <f>IF(I40&gt;0,(E40*N40+G40)/I40,"n/a")</f>
        <v>0.05505744593241009</v>
      </c>
      <c r="P40" s="86">
        <f>IF(I40&gt;0,Measures!$M$23/I40,"n/a")</f>
        <v>1.8646934460887952</v>
      </c>
      <c r="Q40" s="73">
        <f>IF(AND(ISNUMBER(O40),I40&gt;0),1,0)</f>
        <v>1</v>
      </c>
      <c r="R40" s="86">
        <f>IF(Q40=1,O40,0)</f>
        <v>0.05505744593241009</v>
      </c>
      <c r="S40" s="73">
        <f>IF(Q40=1,1+SUMPRODUCT($Q$23:$Q$46*($R$23:$R$46&lt;R40))+SUMPRODUCT($Q$23:$Q$46*($R$23:$R$46=R40)*(ROW($R$23:$R$46)&lt;ROW())),"")</f>
        <v>3</v>
      </c>
      <c r="T40" s="50">
        <f>IF(Q40=1,O40*I40,0)</f>
        <v>1607.7254241274914</v>
      </c>
      <c r="U40" s="27" t="s">
        <v>72</v>
      </c>
    </row>
    <row r="41" spans="1:21" x14ac:dyDescent="0.25">
      <c r="A41" s="73">
        <v>19</v>
      </c>
      <c r="B41" s="6" t="s">
        <v>568</v>
      </c>
      <c r="C41" s="7" t="s">
        <v>48</v>
      </c>
      <c r="D41" s="46">
        <f>MIN(60,MAX(1,ROUND(Measures!$X$24,0)))</f>
        <v>15</v>
      </c>
      <c r="E41" s="84">
        <f>Measures!$T$24</f>
        <v>248410.86926538887</v>
      </c>
      <c r="F41" s="84">
        <f>Measures!$Q$24</f>
        <v>117967.98821398689</v>
      </c>
      <c r="G41" s="84">
        <f>Measures!$V$24</f>
        <v>0</v>
      </c>
      <c r="H41" s="50">
        <f>F41-G41</f>
        <v>117967.98821398689</v>
      </c>
      <c r="I41" s="64">
        <f>Measures!$J$24</f>
        <v>63264.01181997255</v>
      </c>
      <c r="J41" s="85">
        <f>IF(H41&gt;0,E41/H41,"n/a")</f>
        <v>2.1057481188437865</v>
      </c>
      <c r="K41" s="76">
        <f>CashFlows!$D$27+NPV(DiscountRate,CashFlows!$E$27:$X$27)</f>
        <v>991599.5016744725</v>
      </c>
      <c r="L41" s="65">
        <f>IF(E41&gt;0,IFERROR(IRR(CashFlows!$D$27:$X$27),"n/a"),"n/a")</f>
        <v>0.5528440083305031</v>
      </c>
      <c r="M41" s="22" t="s">
        <v>649</v>
      </c>
      <c r="N41" s="48">
        <f>IF(DiscountRate=0,1/D41,DiscountRate*(1+DiscountRate)^D41/((1+DiscountRate)^D41-1))</f>
        <v>0.14682423964634625</v>
      </c>
      <c r="O41" s="52">
        <f>IF(I41&gt;0,(E41*N41+G41)/I41,"n/a")</f>
        <v>0.5765163471385187</v>
      </c>
      <c r="P41" s="86">
        <f>IF(I41&gt;0,Measures!$M$24/I41,"n/a")</f>
        <v>1.8646934460887952</v>
      </c>
      <c r="Q41" s="73">
        <f>IF(AND(ISNUMBER(O41),I41&gt;0),1,0)</f>
        <v>1</v>
      </c>
      <c r="R41" s="86">
        <f>IF(Q41=1,O41,0)</f>
        <v>0.5765163471385187</v>
      </c>
      <c r="S41" s="73">
        <f>IF(Q41=1,1+SUMPRODUCT($Q$23:$Q$46*($R$23:$R$46&lt;R41))+SUMPRODUCT($Q$23:$Q$46*($R$23:$R$46=R41)*(ROW($R$23:$R$46)&lt;ROW())),"")</f>
        <v>21</v>
      </c>
      <c r="T41" s="50">
        <f>IF(Q41=1,O41*I41,0)</f>
        <v>36472.736999778645</v>
      </c>
      <c r="U41" s="27" t="s">
        <v>72</v>
      </c>
    </row>
    <row r="42" spans="1:21" x14ac:dyDescent="0.25">
      <c r="A42" s="73">
        <v>20</v>
      </c>
      <c r="B42" s="6" t="s">
        <v>571</v>
      </c>
      <c r="C42" s="7" t="s">
        <v>50</v>
      </c>
      <c r="D42" s="46">
        <f>MIN(60,MAX(1,ROUND(Measures!$X$25,0)))</f>
        <v>5</v>
      </c>
      <c r="E42" s="84">
        <f>Measures!$T$25</f>
        <v>5600</v>
      </c>
      <c r="F42" s="84">
        <f>Measures!$Q$25</f>
        <v>6292.076432692128</v>
      </c>
      <c r="G42" s="84">
        <f>Measures!$V$25</f>
        <v>0</v>
      </c>
      <c r="H42" s="50">
        <f>F42-G42</f>
        <v>6292.076432692128</v>
      </c>
      <c r="I42" s="64">
        <f>Measures!$J$25</f>
        <v>4204.200000000012</v>
      </c>
      <c r="J42" s="85">
        <f>IF(H42&gt;0,E42/H42,"n/a")</f>
        <v>0.8900082603739102</v>
      </c>
      <c r="K42" s="76">
        <f>CashFlows!$D$28+NPV(DiscountRate,CashFlows!$E$28:$X$28)</f>
        <v>20553.611766418428</v>
      </c>
      <c r="L42" s="65">
        <f>IF(E42&gt;0,IFERROR(IRR(CashFlows!$D$28:$X$28),"n/a"),"n/a")</f>
        <v>1.169212315089771</v>
      </c>
      <c r="M42" s="22" t="s">
        <v>649</v>
      </c>
      <c r="N42" s="48">
        <f>IF(DiscountRate=0,1/D42,DiscountRate*(1+DiscountRate)^D42/((1+DiscountRate)^D42-1))</f>
        <v>0.2774097319410487</v>
      </c>
      <c r="O42" s="52">
        <f>IF(I42&gt;0,(E42*N42+G42)/I42,"n/a")</f>
        <v>0.36951013245560826</v>
      </c>
      <c r="P42" s="86">
        <f>IF(I42&gt;0,Measures!$M$25/I42,"n/a")</f>
        <v>1.4966168195357288</v>
      </c>
      <c r="Q42" s="73">
        <f>IF(AND(ISNUMBER(O42),I42&gt;0),1,0)</f>
        <v>1</v>
      </c>
      <c r="R42" s="86">
        <f>IF(Q42=1,O42,0)</f>
        <v>0.36951013245560826</v>
      </c>
      <c r="S42" s="73">
        <f>IF(Q42=1,1+SUMPRODUCT($Q$23:$Q$46*($R$23:$R$46&lt;R42))+SUMPRODUCT($Q$23:$Q$46*($R$23:$R$46=R42)*(ROW($R$23:$R$46)&lt;ROW())),"")</f>
        <v>17</v>
      </c>
      <c r="T42" s="50">
        <f>IF(Q42=1,O42*I42,0)</f>
        <v>1553.4944988698726</v>
      </c>
      <c r="U42" s="27" t="s">
        <v>72</v>
      </c>
    </row>
    <row r="43" spans="1:21" x14ac:dyDescent="0.25">
      <c r="A43" s="73">
        <v>21</v>
      </c>
      <c r="B43" s="6" t="s">
        <v>574</v>
      </c>
      <c r="C43" s="7" t="s">
        <v>49</v>
      </c>
      <c r="D43" s="46">
        <f>MIN(60,MAX(1,ROUND(Measures!$X$26,0)))</f>
        <v>10</v>
      </c>
      <c r="E43" s="84">
        <f>Measures!$T$26</f>
        <v>14000</v>
      </c>
      <c r="F43" s="84">
        <f>Measures!$Q$26</f>
        <v>51662.73369299118</v>
      </c>
      <c r="G43" s="84">
        <f>Measures!$V$26</f>
        <v>0</v>
      </c>
      <c r="H43" s="50">
        <f>F43-G43</f>
        <v>51662.73369299118</v>
      </c>
      <c r="I43" s="64">
        <f>Measures!$J$26</f>
        <v>34519.68000000005</v>
      </c>
      <c r="J43" s="85">
        <f>IF(H43&gt;0,E43/H43,"n/a")</f>
        <v>0.2709883701314727</v>
      </c>
      <c r="K43" s="76">
        <f>CashFlows!$D$29+NPV(DiscountRate,CashFlows!$E$29:$X$29)</f>
        <v>379778.4334555065</v>
      </c>
      <c r="L43" s="65">
        <f>IF(E43&gt;0,IFERROR(IRR(CashFlows!$D$29:$X$29),"n/a"),"n/a")</f>
        <v>3.77019395783509</v>
      </c>
      <c r="M43" s="22" t="s">
        <v>649</v>
      </c>
      <c r="N43" s="48">
        <f>IF(DiscountRate=0,1/D43,DiscountRate*(1+DiscountRate)^D43/((1+DiscountRate)^D43-1))</f>
        <v>0.17698416415984403</v>
      </c>
      <c r="O43" s="52">
        <f>IF(I43&gt;0,(E43*N43+G43)/I43,"n/a")</f>
        <v>0.07177871574237689</v>
      </c>
      <c r="P43" s="86">
        <f>IF(I43&gt;0,Measures!$M$26/I43,"n/a")</f>
        <v>1.4966168195357288</v>
      </c>
      <c r="Q43" s="73">
        <f>IF(AND(ISNUMBER(O43),I43&gt;0),1,0)</f>
        <v>1</v>
      </c>
      <c r="R43" s="86">
        <f>IF(Q43=1,O43,0)</f>
        <v>0.07177871574237689</v>
      </c>
      <c r="S43" s="73">
        <f>IF(Q43=1,1+SUMPRODUCT($Q$23:$Q$46*($R$23:$R$46&lt;R43))+SUMPRODUCT($Q$23:$Q$46*($R$23:$R$46=R43)*(ROW($R$23:$R$46)&lt;ROW())),"")</f>
        <v>5</v>
      </c>
      <c r="T43" s="50">
        <f>IF(Q43=1,O43*I43,0)</f>
        <v>2477.778298237816</v>
      </c>
      <c r="U43" s="27" t="s">
        <v>72</v>
      </c>
    </row>
    <row r="44" spans="1:21" x14ac:dyDescent="0.25">
      <c r="A44" s="73">
        <v>22</v>
      </c>
      <c r="B44" s="6" t="s">
        <v>577</v>
      </c>
      <c r="C44" s="7" t="s">
        <v>49</v>
      </c>
      <c r="D44" s="46">
        <f>MIN(60,MAX(1,ROUND(Measures!$X$27,0)))</f>
        <v>10</v>
      </c>
      <c r="E44" s="84">
        <f>Measures!$T$27</f>
        <v>511600</v>
      </c>
      <c r="F44" s="84">
        <f>Measures!$Q$27</f>
        <v>251781.71428842816</v>
      </c>
      <c r="G44" s="84">
        <f>Measures!$V$27</f>
        <v>0</v>
      </c>
      <c r="H44" s="50">
        <f>F44-G44</f>
        <v>251781.71428842816</v>
      </c>
      <c r="I44" s="64">
        <f>Measures!$J$27</f>
        <v>168233.91999999995</v>
      </c>
      <c r="J44" s="85">
        <f>IF(H44&gt;0,E44/H44,"n/a")</f>
        <v>2.031918804929326</v>
      </c>
      <c r="K44" s="76">
        <f>CashFlows!$D$30+NPV(DiscountRate,CashFlows!$E$30:$X$30)</f>
        <v>1407504.970604562</v>
      </c>
      <c r="L44" s="65">
        <f>IF(E44&gt;0,IFERROR(IRR(CashFlows!$D$30:$X$30),"n/a"),"n/a")</f>
        <v>0.5596718466278255</v>
      </c>
      <c r="M44" s="22" t="s">
        <v>649</v>
      </c>
      <c r="N44" s="48">
        <f>IF(DiscountRate=0,1/D44,DiscountRate*(1+DiscountRate)^D44/((1+DiscountRate)^D44-1))</f>
        <v>0.17698416415984403</v>
      </c>
      <c r="O44" s="52">
        <f>IF(I44&gt;0,(E44*N44+G44)/I44,"n/a")</f>
        <v>0.5382095262606746</v>
      </c>
      <c r="P44" s="86">
        <f>IF(I44&gt;0,Measures!$M$27/I44,"n/a")</f>
        <v>1.4966168195357288</v>
      </c>
      <c r="Q44" s="73">
        <f>IF(AND(ISNUMBER(O44),I44&gt;0),1,0)</f>
        <v>1</v>
      </c>
      <c r="R44" s="86">
        <f>IF(Q44=1,O44,0)</f>
        <v>0.5382095262606746</v>
      </c>
      <c r="S44" s="73">
        <f>IF(Q44=1,1+SUMPRODUCT($Q$23:$Q$46*($R$23:$R$46&lt;R44))+SUMPRODUCT($Q$23:$Q$46*($R$23:$R$46=R44)*(ROW($R$23:$R$46)&lt;ROW())),"")</f>
        <v>20</v>
      </c>
      <c r="T44" s="50">
        <f>IF(Q44=1,O44*I44,0)</f>
        <v>90545.0983841762</v>
      </c>
      <c r="U44" s="27" t="s">
        <v>72</v>
      </c>
    </row>
    <row r="45" spans="1:21" x14ac:dyDescent="0.25">
      <c r="A45" s="73">
        <v>23</v>
      </c>
      <c r="B45" s="6" t="s">
        <v>579</v>
      </c>
      <c r="C45" s="7" t="s">
        <v>51</v>
      </c>
      <c r="D45" s="46">
        <f>MIN(60,MAX(1,ROUND(Measures!$X$28,0)))</f>
        <v>10</v>
      </c>
      <c r="E45" s="84">
        <f>Measures!$T$28</f>
        <v>15000</v>
      </c>
      <c r="F45" s="84">
        <f>Measures!$Q$28</f>
        <v>8083.036992149343</v>
      </c>
      <c r="G45" s="84">
        <f>Measures!$V$28</f>
        <v>0</v>
      </c>
      <c r="H45" s="50">
        <f>F45-G45</f>
        <v>8083.036992149343</v>
      </c>
      <c r="I45" s="64">
        <f>Measures!$J$28</f>
        <v>5400.872746209556</v>
      </c>
      <c r="J45" s="85">
        <f>IF(H45&gt;0,E45/H45,"n/a")</f>
        <v>1.8557381358725396</v>
      </c>
      <c r="K45" s="76">
        <f>CashFlows!$D$31+NPV(DiscountRate,CashFlows!$E$31:$X$31)</f>
        <v>46609.70232907533</v>
      </c>
      <c r="L45" s="65">
        <f>IF(E45&gt;0,IFERROR(IRR(CashFlows!$D$31:$X$31),"n/a"),"n/a")</f>
        <v>0.608856512836428</v>
      </c>
      <c r="M45" s="22" t="s">
        <v>649</v>
      </c>
      <c r="N45" s="48">
        <f>IF(DiscountRate=0,1/D45,DiscountRate*(1+DiscountRate)^D45/((1+DiscountRate)^D45-1))</f>
        <v>0.17698416415984403</v>
      </c>
      <c r="O45" s="52">
        <f>IF(I45&gt;0,(E45*N45+G45)/I45,"n/a")</f>
        <v>0.49154323516709914</v>
      </c>
      <c r="P45" s="86">
        <f>IF(I45&gt;0,Measures!$M$28/I45,"n/a")</f>
        <v>1.4966168195357288</v>
      </c>
      <c r="Q45" s="73">
        <f>IF(AND(ISNUMBER(O45),I45&gt;0),1,0)</f>
        <v>1</v>
      </c>
      <c r="R45" s="86">
        <f>IF(Q45=1,O45,0)</f>
        <v>0.49154323516709914</v>
      </c>
      <c r="S45" s="73">
        <f>IF(Q45=1,1+SUMPRODUCT($Q$23:$Q$46*($R$23:$R$46&lt;R45))+SUMPRODUCT($Q$23:$Q$46*($R$23:$R$46=R45)*(ROW($R$23:$R$46)&lt;ROW())),"")</f>
        <v>19</v>
      </c>
      <c r="T45" s="50">
        <f>IF(Q45=1,O45*I45,0)</f>
        <v>2654.7624623976603</v>
      </c>
      <c r="U45" s="27" t="s">
        <v>72</v>
      </c>
    </row>
    <row r="46" spans="1:21" x14ac:dyDescent="0.25">
      <c r="A46" s="73">
        <v>24</v>
      </c>
      <c r="B46" s="6" t="s">
        <v>582</v>
      </c>
      <c r="C46" s="7" t="s">
        <v>584</v>
      </c>
      <c r="D46" s="46">
        <f>MIN(60,MAX(1,ROUND(Measures!$X$29,0)))</f>
        <v>15</v>
      </c>
      <c r="E46" s="84">
        <f>Measures!$T$29</f>
        <v>136000</v>
      </c>
      <c r="F46" s="84">
        <f>Measures!$Q$29</f>
        <v>35011.19419336111</v>
      </c>
      <c r="G46" s="84">
        <f>Measures!$V$29</f>
        <v>1400</v>
      </c>
      <c r="H46" s="50">
        <f>F46-G46</f>
        <v>33611.19419336111</v>
      </c>
      <c r="I46" s="64">
        <f>Measures!$J$29</f>
        <v>0</v>
      </c>
      <c r="J46" s="85">
        <f>IF(H46&gt;0,E46/H46,"n/a")</f>
        <v>4.04627098988535</v>
      </c>
      <c r="K46" s="76">
        <f>CashFlows!$D$32+NPV(DiscountRate,CashFlows!$E$32:$X$32)</f>
        <v>217301.17950167635</v>
      </c>
      <c r="L46" s="65">
        <f>IF(E46&gt;0,IFERROR(IRR(CashFlows!$D$32:$X$32),"n/a"),"n/a")</f>
        <v>0.31411551986988345</v>
      </c>
      <c r="M46" s="22" t="s">
        <v>649</v>
      </c>
      <c r="N46" s="48">
        <f>IF(DiscountRate=0,1/D46,DiscountRate*(1+DiscountRate)^D46/((1+DiscountRate)^D46-1))</f>
        <v>0.14682423964634625</v>
      </c>
      <c r="O46" s="87" t="str">
        <f>IF(I46&gt;0,(E46*N46+G46)/I46,"n/a")</f>
        <v>n/a</v>
      </c>
      <c r="P46" s="88" t="str">
        <f>IF(I46&gt;0,Measures!$M$29/I46,"n/a")</f>
        <v>n/a</v>
      </c>
      <c r="Q46" s="73">
        <f>IF(AND(ISNUMBER(O46),I46&gt;0),1,0)</f>
        <v>0</v>
      </c>
      <c r="R46" s="86">
        <f>IF(Q46=1,O46,0)</f>
        <v>0</v>
      </c>
      <c r="S46" s="73" t="str">
        <f>IF(Q46=1,1+SUMPRODUCT($Q$23:$Q$46*($R$23:$R$46&lt;R46))+SUMPRODUCT($Q$23:$Q$46*($R$23:$R$46=R46)*(ROW($R$23:$R$46)&lt;ROW())),"")</f>
        <v/>
      </c>
      <c r="T46" s="50">
        <f>IF(Q46=1,O46*I46,0)</f>
        <v>0</v>
      </c>
      <c r="U46" s="27" t="s">
        <v>72</v>
      </c>
    </row>
    <row r="47" spans="2:21" x14ac:dyDescent="0.25">
      <c r="B47" s="67" t="s">
        <v>623</v>
      </c>
      <c r="C47" s="67" t="s">
        <v>650</v>
      </c>
      <c r="D47" s="80">
        <f>AnalysisPeriod</f>
        <v>20</v>
      </c>
      <c r="E47" s="79">
        <f>SUM($E$23:$E$46)</f>
        <v>3497273.8327836003</v>
      </c>
      <c r="F47" s="79">
        <f>SUM($F$23:$F$46)</f>
        <v>3302505.4679264873</v>
      </c>
      <c r="G47" s="79">
        <f>SUM($G$23:$G$46)</f>
        <v>35954.47516209854</v>
      </c>
      <c r="H47" s="79">
        <f>SUM($H$23:$H$46)</f>
        <v>3266550.992764389</v>
      </c>
      <c r="I47" s="68">
        <f>SUM($I$23:$I$46)</f>
        <v>1873002.8849715344</v>
      </c>
      <c r="J47" s="82">
        <f>IF(H47&gt;0,E47/H47,"n/a")</f>
        <v>1.0706319419259875</v>
      </c>
      <c r="K47" s="79">
        <f>CashFlows!$D$34+NPV(DiscountRate,CashFlows!$E$34:$X$34)</f>
        <v>23587953.959507894</v>
      </c>
      <c r="L47" s="69">
        <f>IF(AND(E47&gt;0,AnalysisPeriod&gt;0),IFERROR(IRR(CashFlows!$D$34:$X$34),"n/a"),"n/a")</f>
        <v>0.9976677226990434</v>
      </c>
      <c r="M47" s="22" t="s">
        <v>649</v>
      </c>
      <c r="O47" s="83">
        <f>IF(SUMIF($Q$23:$Q$46,1,$I$23:$I$46)&gt;0,SUM($T$23:$T$46)/SUMIF($Q$23:$Q$46,1,$I$23:$I$46),"n/a")</f>
        <v>0.3050606888413316</v>
      </c>
      <c r="P47" s="83">
        <f>IF(SUMIF($Q$23:$Q$46,1,$I$23:$I$46)&gt;0,SUMPRODUCT($Q$23:$Q$46,Measures!$M$6:$M$29)/SUMIF($Q$23:$Q$46,1,$I$23:$I$46),"n/a")</f>
        <v>1.744521751648442</v>
      </c>
      <c r="Q47" s="89">
        <f>SUM($Q$23:$Q$46)</f>
        <v>23</v>
      </c>
      <c r="T47" s="79">
        <f>SUM($T$23:$T$46)</f>
        <v>571379.5502912176</v>
      </c>
      <c r="U47" s="27" t="s">
        <v>72</v>
      </c>
    </row>
    <row r="50" ht="18" customHeight="1" spans="1:8" x14ac:dyDescent="0.25">
      <c r="A50" s="5" t="s">
        <v>651</v>
      </c>
      <c r="B50" s="5"/>
      <c r="C50" s="5"/>
      <c r="D50" s="5"/>
      <c r="E50" s="5"/>
      <c r="F50" s="5"/>
      <c r="G50" s="5"/>
      <c r="H50" s="5"/>
    </row>
    <row r="51" ht="32" customHeight="1" spans="1:8" x14ac:dyDescent="0.25">
      <c r="A51" s="15" t="s">
        <v>652</v>
      </c>
      <c r="B51" s="16" t="s">
        <v>487</v>
      </c>
      <c r="C51" s="16" t="s">
        <v>37</v>
      </c>
      <c r="D51" s="16" t="s">
        <v>643</v>
      </c>
      <c r="E51" s="16" t="s">
        <v>29</v>
      </c>
      <c r="F51" s="16" t="s">
        <v>653</v>
      </c>
      <c r="G51" s="16" t="s">
        <v>654</v>
      </c>
      <c r="H51" s="16" t="s">
        <v>655</v>
      </c>
    </row>
    <row r="52" spans="1:8" x14ac:dyDescent="0.25">
      <c r="A52" s="73">
        <v>1</v>
      </c>
      <c r="B52" s="7" t="str">
        <f>IF(A52&lt;=CurveCount,INDEX($B$23:$B$46,MATCH(A52,$S$23:$S$46,0)),"")</f>
        <v>Repair steam leaks</v>
      </c>
      <c r="C52" s="7" t="str">
        <f>IF(A52&lt;=CurveCount,INDEX($C$23:$C$46,MATCH(A52,$S$23:$S$46,0)),"")</f>
        <v>Steam and boilers</v>
      </c>
      <c r="D52" s="86">
        <f>IF(A52&lt;=CurveCount,INDEX($O$23:$O$46,MATCH(A52,$S$23:$S$46,0)),"")</f>
        <v>0.0486154165212505</v>
      </c>
      <c r="E52" s="51">
        <f>IF(A52&lt;=CurveCount,INDEX($I$23:$I$46,MATCH(A52,$S$23:$S$46,0)),"")</f>
        <v>59948.94361632387</v>
      </c>
      <c r="F52" s="51">
        <f>IF(A52&lt;=CurveCount,0,"")</f>
        <v>0</v>
      </c>
      <c r="G52" s="51">
        <f>IF(A52&lt;=CurveCount,F52+E52,"")</f>
        <v>59948.94361632387</v>
      </c>
      <c r="H52" s="17" t="str">
        <f>IF(A52&lt;=CurveCount,IF(ISNUMBER(Total_AvoidedRate),IF(D52&lt;=Total_AvoidedRate,"Costs less than the energy it saves","Costs more than the energy it saves"),""),"")</f>
        <v>Costs less than the energy it saves</v>
      </c>
    </row>
    <row r="53" spans="1:8" x14ac:dyDescent="0.25">
      <c r="A53" s="73">
        <v>2</v>
      </c>
      <c r="B53" s="7" t="str">
        <f>IF(A53&lt;=CurveCount,INDEX($B$23:$B$46,MATCH(A53,$S$23:$S$46,0)),"")</f>
        <v>Insulate bare steam pipe, valves and flanges</v>
      </c>
      <c r="C53" s="7" t="str">
        <f>IF(A53&lt;=CurveCount,INDEX($C$23:$C$46,MATCH(A53,$S$23:$S$46,0)),"")</f>
        <v>Steam and boilers</v>
      </c>
      <c r="D53" s="86">
        <f>IF(A53&lt;=CurveCount,INDEX($O$23:$O$46,MATCH(A53,$S$23:$S$46,0)),"")</f>
        <v>0.049505717737661076</v>
      </c>
      <c r="E53" s="51">
        <f>IF(A53&lt;=CurveCount,INDEX($I$23:$I$46,MATCH(A53,$S$23:$S$46,0)),"")</f>
        <v>181729.59467712278</v>
      </c>
      <c r="F53" s="51">
        <f>IF(A53&lt;=CurveCount,G52,"")</f>
        <v>59948.94361632387</v>
      </c>
      <c r="G53" s="51">
        <f>IF(A53&lt;=CurveCount,F53+E53,"")</f>
        <v>241678.53829344665</v>
      </c>
      <c r="H53" s="17" t="str">
        <f>IF(A53&lt;=CurveCount,IF(ISNUMBER(Total_AvoidedRate),IF(D53&lt;=Total_AvoidedRate,"Costs less than the energy it saves","Costs more than the energy it saves"),""),"")</f>
        <v>Costs less than the energy it saves</v>
      </c>
    </row>
    <row r="54" spans="1:8" x14ac:dyDescent="0.25">
      <c r="A54" s="73">
        <v>3</v>
      </c>
      <c r="B54" s="7" t="str">
        <f>IF(A54&lt;=CurveCount,INDEX($B$23:$B$46,MATCH(A54,$S$23:$S$46,0)),"")</f>
        <v>Insulate the crate washer's soak tank and fit a lid</v>
      </c>
      <c r="C54" s="7" t="str">
        <f>IF(A54&lt;=CurveCount,INDEX($C$23:$C$46,MATCH(A54,$S$23:$S$46,0)),"")</f>
        <v>Process heat</v>
      </c>
      <c r="D54" s="86">
        <f>IF(A54&lt;=CurveCount,INDEX($O$23:$O$46,MATCH(A54,$S$23:$S$46,0)),"")</f>
        <v>0.05505744593241009</v>
      </c>
      <c r="E54" s="51">
        <f>IF(A54&lt;=CurveCount,INDEX($I$23:$I$46,MATCH(A54,$S$23:$S$46,0)),"")</f>
        <v>29200.871869377588</v>
      </c>
      <c r="F54" s="51">
        <f>IF(A54&lt;=CurveCount,G53,"")</f>
        <v>241678.53829344665</v>
      </c>
      <c r="G54" s="51">
        <f>IF(A54&lt;=CurveCount,F54+E54,"")</f>
        <v>270879.4101628242</v>
      </c>
      <c r="H54" s="17" t="str">
        <f>IF(A54&lt;=CurveCount,IF(ISNUMBER(Total_AvoidedRate),IF(D54&lt;=Total_AvoidedRate,"Costs less than the energy it saves","Costs more than the energy it saves"),""),"")</f>
        <v>Costs less than the energy it saves</v>
      </c>
    </row>
    <row r="55" spans="1:8" x14ac:dyDescent="0.25">
      <c r="A55" s="73">
        <v>4</v>
      </c>
      <c r="B55" s="7" t="str">
        <f>IF(A55&lt;=CurveCount,INDEX($B$23:$B$46,MATCH(A55,$S$23:$S$46,0)),"")</f>
        <v>Switch compressors off outside production</v>
      </c>
      <c r="C55" s="7" t="str">
        <f>IF(A55&lt;=CurveCount,INDEX($C$23:$C$46,MATCH(A55,$S$23:$S$46,0)),"")</f>
        <v>Compressed air</v>
      </c>
      <c r="D55" s="86">
        <f>IF(A55&lt;=CurveCount,INDEX($O$23:$O$46,MATCH(A55,$S$23:$S$46,0)),"")</f>
        <v>0.05672355912356186</v>
      </c>
      <c r="E55" s="51">
        <f>IF(A55&lt;=CurveCount,INDEX($I$23:$I$46,MATCH(A55,$S$23:$S$46,0)),"")</f>
        <v>73358.33723076928</v>
      </c>
      <c r="F55" s="51">
        <f>IF(A55&lt;=CurveCount,G54,"")</f>
        <v>270879.4101628242</v>
      </c>
      <c r="G55" s="51">
        <f>IF(A55&lt;=CurveCount,F55+E55,"")</f>
        <v>344237.7473935935</v>
      </c>
      <c r="H55" s="17" t="str">
        <f>IF(A55&lt;=CurveCount,IF(ISNUMBER(Total_AvoidedRate),IF(D55&lt;=Total_AvoidedRate,"Costs less than the energy it saves","Costs more than the energy it saves"),""),"")</f>
        <v>Costs less than the energy it saves</v>
      </c>
    </row>
    <row r="56" spans="1:8" x14ac:dyDescent="0.25">
      <c r="A56" s="73">
        <v>5</v>
      </c>
      <c r="B56" s="7" t="str">
        <f>IF(A56&lt;=CurveCount,INDEX($B$23:$B$46,MATCH(A56,$S$23:$S$46,0)),"")</f>
        <v>Occupancy sensors in intermittently used areas</v>
      </c>
      <c r="C56" s="7" t="str">
        <f>IF(A56&lt;=CurveCount,INDEX($C$23:$C$46,MATCH(A56,$S$23:$S$46,0)),"")</f>
        <v>Lighting</v>
      </c>
      <c r="D56" s="86">
        <f>IF(A56&lt;=CurveCount,INDEX($O$23:$O$46,MATCH(A56,$S$23:$S$46,0)),"")</f>
        <v>0.07177871574237689</v>
      </c>
      <c r="E56" s="51">
        <f>IF(A56&lt;=CurveCount,INDEX($I$23:$I$46,MATCH(A56,$S$23:$S$46,0)),"")</f>
        <v>34519.68000000005</v>
      </c>
      <c r="F56" s="51">
        <f>IF(A56&lt;=CurveCount,G55,"")</f>
        <v>344237.7473935935</v>
      </c>
      <c r="G56" s="51">
        <f>IF(A56&lt;=CurveCount,F56+E56,"")</f>
        <v>378757.42739359353</v>
      </c>
      <c r="H56" s="17" t="str">
        <f>IF(A56&lt;=CurveCount,IF(ISNUMBER(Total_AvoidedRate),IF(D56&lt;=Total_AvoidedRate,"Costs less than the energy it saves","Costs more than the energy it saves"),""),"")</f>
        <v>Costs less than the energy it saves</v>
      </c>
    </row>
    <row r="57" spans="1:8" x14ac:dyDescent="0.25">
      <c r="A57" s="73">
        <v>6</v>
      </c>
      <c r="B57" s="7" t="str">
        <f>IF(A57&lt;=CurveCount,INDEX($B$23:$B$46,MATCH(A57,$S$23:$S$46,0)),"")</f>
        <v>Tune the burners on ovens, fryers and dryers: Tunnel oven burners (2 ovens)</v>
      </c>
      <c r="C57" s="7" t="str">
        <f>IF(A57&lt;=CurveCount,INDEX($C$23:$C$46,MATCH(A57,$S$23:$S$46,0)),"")</f>
        <v>Process heat</v>
      </c>
      <c r="D57" s="86">
        <f>IF(A57&lt;=CurveCount,INDEX($O$23:$O$46,MATCH(A57,$S$23:$S$46,0)),"")</f>
        <v>0.07442779118908378</v>
      </c>
      <c r="E57" s="51">
        <f>IF(A57&lt;=CurveCount,INDEX($I$23:$I$46,MATCH(A57,$S$23:$S$46,0)),"")</f>
        <v>155940.76258084513</v>
      </c>
      <c r="F57" s="51">
        <f>IF(A57&lt;=CurveCount,G56,"")</f>
        <v>378757.42739359353</v>
      </c>
      <c r="G57" s="51">
        <f>IF(A57&lt;=CurveCount,F57+E57,"")</f>
        <v>534698.1899744386</v>
      </c>
      <c r="H57" s="17" t="str">
        <f>IF(A57&lt;=CurveCount,IF(ISNUMBER(Total_AvoidedRate),IF(D57&lt;=Total_AvoidedRate,"Costs less than the energy it saves","Costs more than the energy it saves"),""),"")</f>
        <v>Costs less than the energy it saves</v>
      </c>
    </row>
    <row r="58" spans="1:8" x14ac:dyDescent="0.25">
      <c r="A58" s="73">
        <v>7</v>
      </c>
      <c r="B58" s="7" t="str">
        <f>IF(A58&lt;=CurveCount,INDEX($B$23:$B$46,MATCH(A58,$S$23:$S$46,0)),"")</f>
        <v>Steam trap survey and repair</v>
      </c>
      <c r="C58" s="7" t="str">
        <f>IF(A58&lt;=CurveCount,INDEX($C$23:$C$46,MATCH(A58,$S$23:$S$46,0)),"")</f>
        <v>Steam and boilers</v>
      </c>
      <c r="D58" s="86">
        <f>IF(A58&lt;=CurveCount,INDEX($O$23:$O$46,MATCH(A58,$S$23:$S$46,0)),"")</f>
        <v>0.18968111380176744</v>
      </c>
      <c r="E58" s="51">
        <f>IF(A58&lt;=CurveCount,INDEX($I$23:$I$46,MATCH(A58,$S$23:$S$46,0)),"")</f>
        <v>140505.33660075814</v>
      </c>
      <c r="F58" s="51">
        <f>IF(A58&lt;=CurveCount,G57,"")</f>
        <v>534698.1899744386</v>
      </c>
      <c r="G58" s="51">
        <f>IF(A58&lt;=CurveCount,F58+E58,"")</f>
        <v>675203.5265751968</v>
      </c>
      <c r="H58" s="17" t="str">
        <f>IF(A58&lt;=CurveCount,IF(ISNUMBER(Total_AvoidedRate),IF(D58&lt;=Total_AvoidedRate,"Costs less than the energy it saves","Costs more than the energy it saves"),""),"")</f>
        <v>Costs less than the energy it saves</v>
      </c>
    </row>
    <row r="59" spans="1:8" x14ac:dyDescent="0.25">
      <c r="A59" s="73">
        <v>8</v>
      </c>
      <c r="B59" s="7" t="str">
        <f>IF(A59&lt;=CurveCount,INDEX($B$23:$B$46,MATCH(A59,$S$23:$S$46,0)),"")</f>
        <v>VSDs on the oven-hall extraction fans (2 × 22 kW)</v>
      </c>
      <c r="C59" s="7" t="str">
        <f>IF(A59&lt;=CurveCount,INDEX($C$23:$C$46,MATCH(A59,$S$23:$S$46,0)),"")</f>
        <v>Motors, pumps and fans</v>
      </c>
      <c r="D59" s="86">
        <f>IF(A59&lt;=CurveCount,INDEX($O$23:$O$46,MATCH(A59,$S$23:$S$46,0)),"")</f>
        <v>0.2085921318632713</v>
      </c>
      <c r="E59" s="51">
        <f>IF(A59&lt;=CurveCount,INDEX($I$23:$I$46,MATCH(A59,$S$23:$S$46,0)),"")</f>
        <v>87944.10375789819</v>
      </c>
      <c r="F59" s="51">
        <f>IF(A59&lt;=CurveCount,G58,"")</f>
        <v>675203.5265751968</v>
      </c>
      <c r="G59" s="51">
        <f>IF(A59&lt;=CurveCount,F59+E59,"")</f>
        <v>763147.630333095</v>
      </c>
      <c r="H59" s="17" t="str">
        <f>IF(A59&lt;=CurveCount,IF(ISNUMBER(Total_AvoidedRate),IF(D59&lt;=Total_AvoidedRate,"Costs less than the energy it saves","Costs more than the energy it saves"),""),"")</f>
        <v>Costs less than the energy it saves</v>
      </c>
    </row>
    <row r="60" spans="1:8" x14ac:dyDescent="0.25">
      <c r="A60" s="73">
        <v>9</v>
      </c>
      <c r="B60" s="7" t="str">
        <f>IF(A60&lt;=CurveCount,INDEX($B$23:$B$46,MATCH(A60,$S$23:$S$46,0)),"")</f>
        <v>Refrigeration heat recovery: a desuperheater for hot water</v>
      </c>
      <c r="C60" s="7" t="str">
        <f>IF(A60&lt;=CurveCount,INDEX($C$23:$C$46,MATCH(A60,$S$23:$S$46,0)),"")</f>
        <v>Refrigeration and chillers</v>
      </c>
      <c r="D60" s="86">
        <f>IF(A60&lt;=CurveCount,INDEX($O$23:$O$46,MATCH(A60,$S$23:$S$46,0)),"")</f>
        <v>0.2324892186424953</v>
      </c>
      <c r="E60" s="51">
        <f>IF(A60&lt;=CurveCount,INDEX($I$23:$I$46,MATCH(A60,$S$23:$S$46,0)),"")</f>
        <v>126494.11422903377</v>
      </c>
      <c r="F60" s="51">
        <f>IF(A60&lt;=CurveCount,G59,"")</f>
        <v>763147.630333095</v>
      </c>
      <c r="G60" s="51">
        <f>IF(A60&lt;=CurveCount,F60+E60,"")</f>
        <v>889641.7445621288</v>
      </c>
      <c r="H60" s="17" t="str">
        <f>IF(A60&lt;=CurveCount,IF(ISNUMBER(Total_AvoidedRate),IF(D60&lt;=Total_AvoidedRate,"Costs less than the energy it saves","Costs more than the energy it saves"),""),"")</f>
        <v>Costs less than the energy it saves</v>
      </c>
    </row>
    <row r="61" spans="1:8" x14ac:dyDescent="0.25">
      <c r="A61" s="73">
        <v>10</v>
      </c>
      <c r="B61" s="7" t="str">
        <f>IF(A61&lt;=CurveCount,INDEX($B$23:$B$46,MATCH(A61,$S$23:$S$46,0)),"")</f>
        <v>Floating head pressure on the refrigeration plant</v>
      </c>
      <c r="C61" s="7" t="str">
        <f>IF(A61&lt;=CurveCount,INDEX($C$23:$C$46,MATCH(A61,$S$23:$S$46,0)),"")</f>
        <v>Refrigeration and chillers</v>
      </c>
      <c r="D61" s="86">
        <f>IF(A61&lt;=CurveCount,INDEX($O$23:$O$46,MATCH(A61,$S$23:$S$46,0)),"")</f>
        <v>0.2527096088999912</v>
      </c>
      <c r="E61" s="51">
        <f>IF(A61&lt;=CurveCount,INDEX($I$23:$I$46,MATCH(A61,$S$23:$S$46,0)),"")</f>
        <v>91044.98020842974</v>
      </c>
      <c r="F61" s="51">
        <f>IF(A61&lt;=CurveCount,G60,"")</f>
        <v>889641.7445621288</v>
      </c>
      <c r="G61" s="51">
        <f>IF(A61&lt;=CurveCount,F61+E61,"")</f>
        <v>980686.7247705585</v>
      </c>
      <c r="H61" s="17" t="str">
        <f>IF(A61&lt;=CurveCount,IF(ISNUMBER(Total_AvoidedRate),IF(D61&lt;=Total_AvoidedRate,"Costs less than the energy it saves","Costs more than the energy it saves"),""),"")</f>
        <v>Costs less than the energy it saves</v>
      </c>
    </row>
    <row r="62" spans="1:8" x14ac:dyDescent="0.25">
      <c r="A62" s="73">
        <v>11</v>
      </c>
      <c r="B62" s="7" t="str">
        <f>IF(A62&lt;=CurveCount,INDEX($B$23:$B$46,MATCH(A62,$S$23:$S$46,0)),"")</f>
        <v>Boiler combustion tuning and O2 trim</v>
      </c>
      <c r="C62" s="7" t="str">
        <f>IF(A62&lt;=CurveCount,INDEX($C$23:$C$46,MATCH(A62,$S$23:$S$46,0)),"")</f>
        <v>Steam and boilers</v>
      </c>
      <c r="D62" s="86">
        <f>IF(A62&lt;=CurveCount,INDEX($O$23:$O$46,MATCH(A62,$S$23:$S$46,0)),"")</f>
        <v>0.27053924958212305</v>
      </c>
      <c r="E62" s="51">
        <f>IF(A62&lt;=CurveCount,INDEX($I$23:$I$46,MATCH(A62,$S$23:$S$46,0)),"")</f>
        <v>85176.74972921726</v>
      </c>
      <c r="F62" s="51">
        <f>IF(A62&lt;=CurveCount,G61,"")</f>
        <v>980686.7247705585</v>
      </c>
      <c r="G62" s="51">
        <f>IF(A62&lt;=CurveCount,F62+E62,"")</f>
        <v>1065863.4744997758</v>
      </c>
      <c r="H62" s="17" t="str">
        <f>IF(A62&lt;=CurveCount,IF(ISNUMBER(Total_AvoidedRate),IF(D62&lt;=Total_AvoidedRate,"Costs less than the energy it saves","Costs more than the energy it saves"),""),"")</f>
        <v>Costs less than the energy it saves</v>
      </c>
    </row>
    <row r="63" spans="1:8" x14ac:dyDescent="0.25">
      <c r="A63" s="73">
        <v>12</v>
      </c>
      <c r="B63" s="7" t="str">
        <f>IF(A63&lt;=CurveCount,INDEX($B$23:$B$46,MATCH(A63,$S$23:$S$46,0)),"")</f>
        <v>Compressed-air leak repair programme</v>
      </c>
      <c r="C63" s="7" t="str">
        <f>IF(A63&lt;=CurveCount,INDEX($C$23:$C$46,MATCH(A63,$S$23:$S$46,0)),"")</f>
        <v>Compressed air</v>
      </c>
      <c r="D63" s="86">
        <f>IF(A63&lt;=CurveCount,INDEX($O$23:$O$46,MATCH(A63,$S$23:$S$46,0)),"")</f>
        <v>0.2803549782068772</v>
      </c>
      <c r="E63" s="51">
        <f>IF(A63&lt;=CurveCount,INDEX($I$23:$I$46,MATCH(A63,$S$23:$S$46,0)),"")</f>
        <v>130133.01269230765</v>
      </c>
      <c r="F63" s="51">
        <f>IF(A63&lt;=CurveCount,G62,"")</f>
        <v>1065863.4744997758</v>
      </c>
      <c r="G63" s="51">
        <f>IF(A63&lt;=CurveCount,F63+E63,"")</f>
        <v>1195996.4871920834</v>
      </c>
      <c r="H63" s="17" t="str">
        <f>IF(A63&lt;=CurveCount,IF(ISNUMBER(Total_AvoidedRate),IF(D63&lt;=Total_AvoidedRate,"Costs less than the energy it saves","Costs more than the energy it saves"),""),"")</f>
        <v>Costs less than the energy it saves</v>
      </c>
    </row>
    <row r="64" spans="1:8" x14ac:dyDescent="0.25">
      <c r="A64" s="73">
        <v>13</v>
      </c>
      <c r="B64" s="7" t="str">
        <f>IF(A64&lt;=CurveCount,INDEX($B$23:$B$46,MATCH(A64,$S$23:$S$46,0)),"")</f>
        <v>Flue-gas economiser</v>
      </c>
      <c r="C64" s="7" t="str">
        <f>IF(A64&lt;=CurveCount,INDEX($C$23:$C$46,MATCH(A64,$S$23:$S$46,0)),"")</f>
        <v>Steam and boilers</v>
      </c>
      <c r="D64" s="86">
        <f>IF(A64&lt;=CurveCount,INDEX($O$23:$O$46,MATCH(A64,$S$23:$S$46,0)),"")</f>
        <v>0.30070718944828867</v>
      </c>
      <c r="E64" s="51">
        <f>IF(A64&lt;=CurveCount,INDEX($I$23:$I$46,MATCH(A64,$S$23:$S$46,0)),"")</f>
        <v>78640.17703717912</v>
      </c>
      <c r="F64" s="51">
        <f>IF(A64&lt;=CurveCount,G63,"")</f>
        <v>1195996.4871920834</v>
      </c>
      <c r="G64" s="51">
        <f>IF(A64&lt;=CurveCount,F64+E64,"")</f>
        <v>1274636.6642292626</v>
      </c>
      <c r="H64" s="17" t="str">
        <f>IF(A64&lt;=CurveCount,IF(ISNUMBER(Total_AvoidedRate),IF(D64&lt;=Total_AvoidedRate,"Costs less than the energy it saves","Costs more than the energy it saves"),""),"")</f>
        <v>Costs less than the energy it saves</v>
      </c>
    </row>
    <row r="65" spans="1:8" x14ac:dyDescent="0.25">
      <c r="A65" s="73">
        <v>14</v>
      </c>
      <c r="B65" s="7" t="str">
        <f>IF(A65&lt;=CurveCount,INDEX($B$23:$B$46,MATCH(A65,$S$23:$S$46,0)),"")</f>
        <v>Variable-speed drive on a throttled pump (pump and system curves): Cooling-water and process pumps</v>
      </c>
      <c r="C65" s="7" t="str">
        <f>IF(A65&lt;=CurveCount,INDEX($C$23:$C$46,MATCH(A65,$S$23:$S$46,0)),"")</f>
        <v>Motors, pumps and fans</v>
      </c>
      <c r="D65" s="86">
        <f>IF(A65&lt;=CurveCount,INDEX($O$23:$O$46,MATCH(A65,$S$23:$S$46,0)),"")</f>
        <v>0.3096411288787849</v>
      </c>
      <c r="E65" s="51">
        <f>IF(A65&lt;=CurveCount,INDEX($I$23:$I$46,MATCH(A65,$S$23:$S$46,0)),"")</f>
        <v>49819.58824089554</v>
      </c>
      <c r="F65" s="51">
        <f>IF(A65&lt;=CurveCount,G64,"")</f>
        <v>1274636.6642292626</v>
      </c>
      <c r="G65" s="51">
        <f>IF(A65&lt;=CurveCount,F65+E65,"")</f>
        <v>1324456.252470158</v>
      </c>
      <c r="H65" s="17" t="str">
        <f>IF(A65&lt;=CurveCount,IF(ISNUMBER(Total_AvoidedRate),IF(D65&lt;=Total_AvoidedRate,"Costs less than the energy it saves","Costs more than the energy it saves"),""),"")</f>
        <v>Costs less than the energy it saves</v>
      </c>
    </row>
    <row r="66" spans="1:8" x14ac:dyDescent="0.25">
      <c r="A66" s="73">
        <v>15</v>
      </c>
      <c r="B66" s="7" t="str">
        <f>IF(A66&lt;=CurveCount,INDEX($B$23:$B$46,MATCH(A66,$S$23:$S$46,0)),"")</f>
        <v>Return more condensate</v>
      </c>
      <c r="C66" s="7" t="str">
        <f>IF(A66&lt;=CurveCount,INDEX($C$23:$C$46,MATCH(A66,$S$23:$S$46,0)),"")</f>
        <v>Steam and boilers</v>
      </c>
      <c r="D66" s="86">
        <f>IF(A66&lt;=CurveCount,INDEX($O$23:$O$46,MATCH(A66,$S$23:$S$46,0)),"")</f>
        <v>0.3454602467662564</v>
      </c>
      <c r="E66" s="51">
        <f>IF(A66&lt;=CurveCount,INDEX($I$23:$I$46,MATCH(A66,$S$23:$S$46,0)),"")</f>
        <v>41786.38557927159</v>
      </c>
      <c r="F66" s="51">
        <f>IF(A66&lt;=CurveCount,G65,"")</f>
        <v>1324456.252470158</v>
      </c>
      <c r="G66" s="51">
        <f>IF(A66&lt;=CurveCount,F66+E66,"")</f>
        <v>1366242.6380494297</v>
      </c>
      <c r="H66" s="17" t="str">
        <f>IF(A66&lt;=CurveCount,IF(ISNUMBER(Total_AvoidedRate),IF(D66&lt;=Total_AvoidedRate,"Costs less than the energy it saves","Costs more than the energy it saves"),""),"")</f>
        <v>Costs less than the energy it saves</v>
      </c>
    </row>
    <row r="67" spans="1:8" x14ac:dyDescent="0.25">
      <c r="A67" s="73">
        <v>16</v>
      </c>
      <c r="B67" s="7" t="str">
        <f>IF(A67&lt;=CurveCount,INDEX($B$23:$B$46,MATCH(A67,$S$23:$S$46,0)),"")</f>
        <v>Duct the compressor intakes to outside air</v>
      </c>
      <c r="C67" s="7" t="str">
        <f>IF(A67&lt;=CurveCount,INDEX($C$23:$C$46,MATCH(A67,$S$23:$S$46,0)),"")</f>
        <v>Compressed air</v>
      </c>
      <c r="D67" s="86">
        <f>IF(A67&lt;=CurveCount,INDEX($O$23:$O$46,MATCH(A67,$S$23:$S$46,0)),"")</f>
        <v>0.35977470624945074</v>
      </c>
      <c r="E67" s="51">
        <f>IF(A67&lt;=CurveCount,INDEX($I$23:$I$46,MATCH(A67,$S$23:$S$46,0)),"")</f>
        <v>14691.618213993148</v>
      </c>
      <c r="F67" s="51">
        <f>IF(A67&lt;=CurveCount,G66,"")</f>
        <v>1366242.6380494297</v>
      </c>
      <c r="G67" s="51">
        <f>IF(A67&lt;=CurveCount,F67+E67,"")</f>
        <v>1380934.2562634228</v>
      </c>
      <c r="H67" s="17" t="str">
        <f>IF(A67&lt;=CurveCount,IF(ISNUMBER(Total_AvoidedRate),IF(D67&lt;=Total_AvoidedRate,"Costs less than the energy it saves","Costs more than the energy it saves"),""),"")</f>
        <v>Costs less than the energy it saves</v>
      </c>
    </row>
    <row r="68" spans="1:8" x14ac:dyDescent="0.25">
      <c r="A68" s="73">
        <v>17</v>
      </c>
      <c r="B68" s="7" t="str">
        <f>IF(A68&lt;=CurveCount,INDEX($B$23:$B$46,MATCH(A68,$S$23:$S$46,0)),"")</f>
        <v>Widen HVAC set points</v>
      </c>
      <c r="C68" s="7" t="str">
        <f>IF(A68&lt;=CurveCount,INDEX($C$23:$C$46,MATCH(A68,$S$23:$S$46,0)),"")</f>
        <v>HVAC and offices</v>
      </c>
      <c r="D68" s="86">
        <f>IF(A68&lt;=CurveCount,INDEX($O$23:$O$46,MATCH(A68,$S$23:$S$46,0)),"")</f>
        <v>0.36951013245560826</v>
      </c>
      <c r="E68" s="51">
        <f>IF(A68&lt;=CurveCount,INDEX($I$23:$I$46,MATCH(A68,$S$23:$S$46,0)),"")</f>
        <v>4204.200000000012</v>
      </c>
      <c r="F68" s="51">
        <f>IF(A68&lt;=CurveCount,G67,"")</f>
        <v>1380934.2562634228</v>
      </c>
      <c r="G68" s="51">
        <f>IF(A68&lt;=CurveCount,F68+E68,"")</f>
        <v>1385138.4562634227</v>
      </c>
      <c r="H68" s="17" t="str">
        <f>IF(A68&lt;=CurveCount,IF(ISNUMBER(Total_AvoidedRate),IF(D68&lt;=Total_AvoidedRate,"Costs less than the energy it saves","Costs more than the energy it saves"),""),"")</f>
        <v>Costs less than the energy it saves</v>
      </c>
    </row>
    <row r="69" spans="1:8" x14ac:dyDescent="0.25">
      <c r="A69" s="73">
        <v>18</v>
      </c>
      <c r="B69" s="7" t="str">
        <f>IF(A69&lt;=CurveCount,INDEX($B$23:$B$46,MATCH(A69,$S$23:$S$46,0)),"")</f>
        <v>Heat pump instead of steam for hot water</v>
      </c>
      <c r="C69" s="7" t="str">
        <f>IF(A69&lt;=CurveCount,INDEX($C$23:$C$46,MATCH(A69,$S$23:$S$46,0)),"")</f>
        <v>Steam and boilers</v>
      </c>
      <c r="D69" s="86">
        <f>IF(A69&lt;=CurveCount,INDEX($O$23:$O$46,MATCH(A69,$S$23:$S$46,0)),"")</f>
        <v>0.48367929062901915</v>
      </c>
      <c r="E69" s="51">
        <f>IF(A69&lt;=CurveCount,INDEX($I$23:$I$46,MATCH(A69,$S$23:$S$46,0)),"")</f>
        <v>233672.30441710108</v>
      </c>
      <c r="F69" s="51">
        <f>IF(A69&lt;=CurveCount,G68,"")</f>
        <v>1385138.4562634227</v>
      </c>
      <c r="G69" s="51">
        <f>IF(A69&lt;=CurveCount,F69+E69,"")</f>
        <v>1618810.7606805237</v>
      </c>
      <c r="H69" s="17" t="str">
        <f>IF(A69&lt;=CurveCount,IF(ISNUMBER(Total_AvoidedRate),IF(D69&lt;=Total_AvoidedRate,"Costs less than the energy it saves","Costs more than the energy it saves"),""),"")</f>
        <v>Costs less than the energy it saves</v>
      </c>
    </row>
    <row r="70" spans="1:8" x14ac:dyDescent="0.25">
      <c r="A70" s="73">
        <v>19</v>
      </c>
      <c r="B70" s="7" t="str">
        <f>IF(A70&lt;=CurveCount,INDEX($B$23:$B$46,MATCH(A70,$S$23:$S$46,0)),"")</f>
        <v>Run on fewer transformers at light load</v>
      </c>
      <c r="C70" s="7" t="str">
        <f>IF(A70&lt;=CurveCount,INDEX($C$23:$C$46,MATCH(A70,$S$23:$S$46,0)),"")</f>
        <v>Electrical supply and tariff</v>
      </c>
      <c r="D70" s="86">
        <f>IF(A70&lt;=CurveCount,INDEX($O$23:$O$46,MATCH(A70,$S$23:$S$46,0)),"")</f>
        <v>0.49154323516709914</v>
      </c>
      <c r="E70" s="51">
        <f>IF(A70&lt;=CurveCount,INDEX($I$23:$I$46,MATCH(A70,$S$23:$S$46,0)),"")</f>
        <v>5400.872746209556</v>
      </c>
      <c r="F70" s="51">
        <f>IF(A70&lt;=CurveCount,G69,"")</f>
        <v>1618810.7606805237</v>
      </c>
      <c r="G70" s="51">
        <f>IF(A70&lt;=CurveCount,F70+E70,"")</f>
        <v>1624211.6334267333</v>
      </c>
      <c r="H70" s="17" t="str">
        <f>IF(A70&lt;=CurveCount,IF(ISNUMBER(Total_AvoidedRate),IF(D70&lt;=Total_AvoidedRate,"Costs less than the energy it saves","Costs more than the energy it saves"),""),"")</f>
        <v>Costs less than the energy it saves</v>
      </c>
    </row>
    <row r="71" spans="1:8" x14ac:dyDescent="0.25">
      <c r="A71" s="73">
        <v>20</v>
      </c>
      <c r="B71" s="7" t="str">
        <f>IF(A71&lt;=CurveCount,INDEX($B$23:$B$46,MATCH(A71,$S$23:$S$46,0)),"")</f>
        <v>LED lighting retrofit</v>
      </c>
      <c r="C71" s="7" t="str">
        <f>IF(A71&lt;=CurveCount,INDEX($C$23:$C$46,MATCH(A71,$S$23:$S$46,0)),"")</f>
        <v>Lighting</v>
      </c>
      <c r="D71" s="86">
        <f>IF(A71&lt;=CurveCount,INDEX($O$23:$O$46,MATCH(A71,$S$23:$S$46,0)),"")</f>
        <v>0.5382095262606746</v>
      </c>
      <c r="E71" s="51">
        <f>IF(A71&lt;=CurveCount,INDEX($I$23:$I$46,MATCH(A71,$S$23:$S$46,0)),"")</f>
        <v>168233.91999999995</v>
      </c>
      <c r="F71" s="51">
        <f>IF(A71&lt;=CurveCount,G70,"")</f>
        <v>1624211.6334267333</v>
      </c>
      <c r="G71" s="51">
        <f>IF(A71&lt;=CurveCount,F71+E71,"")</f>
        <v>1792445.5534267332</v>
      </c>
      <c r="H71" s="17" t="str">
        <f>IF(A71&lt;=CurveCount,IF(ISNUMBER(Total_AvoidedRate),IF(D71&lt;=Total_AvoidedRate,"Costs less than the energy it saves","Costs more than the energy it saves"),""),"")</f>
        <v>Costs less than the energy it saves</v>
      </c>
    </row>
    <row r="72" spans="1:8" x14ac:dyDescent="0.25">
      <c r="A72" s="73">
        <v>21</v>
      </c>
      <c r="B72" s="7" t="str">
        <f>IF(A72&lt;=CurveCount,INDEX($B$23:$B$46,MATCH(A72,$S$23:$S$46,0)),"")</f>
        <v>Recover oven flue heat: Tunnel oven burners (2 ovens)</v>
      </c>
      <c r="C72" s="7" t="str">
        <f>IF(A72&lt;=CurveCount,INDEX($C$23:$C$46,MATCH(A72,$S$23:$S$46,0)),"")</f>
        <v>Process heat</v>
      </c>
      <c r="D72" s="86">
        <f>IF(A72&lt;=CurveCount,INDEX($O$23:$O$46,MATCH(A72,$S$23:$S$46,0)),"")</f>
        <v>0.5765163471385187</v>
      </c>
      <c r="E72" s="51">
        <f>IF(A72&lt;=CurveCount,INDEX($I$23:$I$46,MATCH(A72,$S$23:$S$46,0)),"")</f>
        <v>63264.01181997255</v>
      </c>
      <c r="F72" s="51">
        <f>IF(A72&lt;=CurveCount,G71,"")</f>
        <v>1792445.5534267332</v>
      </c>
      <c r="G72" s="51">
        <f>IF(A72&lt;=CurveCount,F72+E72,"")</f>
        <v>1855709.565246706</v>
      </c>
      <c r="H72" s="17" t="str">
        <f>IF(A72&lt;=CurveCount,IF(ISNUMBER(Total_AvoidedRate),IF(D72&lt;=Total_AvoidedRate,"Costs less than the energy it saves","Costs more than the energy it saves"),""),"")</f>
        <v>Costs less than the energy it saves</v>
      </c>
    </row>
    <row r="73" spans="1:8" x14ac:dyDescent="0.25">
      <c r="A73" s="73">
        <v>22</v>
      </c>
      <c r="B73" s="7" t="str">
        <f>IF(A73&lt;=CurveCount,INDEX($B$23:$B$46,MATCH(A73,$S$23:$S$46,0)),"")</f>
        <v>Synchronous or cogged belts instead of V-belts: Oven-hall extraction fans</v>
      </c>
      <c r="C73" s="7" t="str">
        <f>IF(A73&lt;=CurveCount,INDEX($C$23:$C$46,MATCH(A73,$S$23:$S$46,0)),"")</f>
        <v>Motors, pumps and fans</v>
      </c>
      <c r="D73" s="86">
        <f>IF(A73&lt;=CurveCount,INDEX($O$23:$O$46,MATCH(A73,$S$23:$S$46,0)),"")</f>
        <v>0.6132219668472768</v>
      </c>
      <c r="E73" s="51">
        <f>IF(A73&lt;=CurveCount,INDEX($I$23:$I$46,MATCH(A73,$S$23:$S$46,0)),"")</f>
        <v>5714.548140506609</v>
      </c>
      <c r="F73" s="51">
        <f>IF(A73&lt;=CurveCount,G72,"")</f>
        <v>1855709.565246706</v>
      </c>
      <c r="G73" s="51">
        <f>IF(A73&lt;=CurveCount,F73+E73,"")</f>
        <v>1861424.1133872126</v>
      </c>
      <c r="H73" s="17" t="str">
        <f>IF(A73&lt;=CurveCount,IF(ISNUMBER(Total_AvoidedRate),IF(D73&lt;=Total_AvoidedRate,"Costs less than the energy it saves","Costs more than the energy it saves"),""),"")</f>
        <v>Costs less than the energy it saves</v>
      </c>
    </row>
    <row r="74" spans="1:8" x14ac:dyDescent="0.25">
      <c r="A74" s="73">
        <v>23</v>
      </c>
      <c r="B74" s="7" t="str">
        <f>IF(A74&lt;=CurveCount,INDEX($B$23:$B$46,MATCH(A74,$S$23:$S$46,0)),"")</f>
        <v>Variable-speed trim compressor</v>
      </c>
      <c r="C74" s="7" t="str">
        <f>IF(A74&lt;=CurveCount,INDEX($C$23:$C$46,MATCH(A74,$S$23:$S$46,0)),"")</f>
        <v>Compressed air</v>
      </c>
      <c r="D74" s="86">
        <f>IF(A74&lt;=CurveCount,INDEX($O$23:$O$46,MATCH(A74,$S$23:$S$46,0)),"")</f>
        <v>6.57482252778119</v>
      </c>
      <c r="E74" s="51">
        <f>IF(A74&lt;=CurveCount,INDEX($I$23:$I$46,MATCH(A74,$S$23:$S$46,0)),"")</f>
        <v>11578.771584321628</v>
      </c>
      <c r="F74" s="51">
        <f>IF(A74&lt;=CurveCount,G73,"")</f>
        <v>1861424.1133872126</v>
      </c>
      <c r="G74" s="51">
        <f>IF(A74&lt;=CurveCount,F74+E74,"")</f>
        <v>1873002.8849715344</v>
      </c>
      <c r="H74" s="17" t="str">
        <f>IF(A74&lt;=CurveCount,IF(ISNUMBER(Total_AvoidedRate),IF(D74&lt;=Total_AvoidedRate,"Costs less than the energy it saves","Costs more than the energy it saves"),""),"")</f>
        <v>Costs more than the energy it saves</v>
      </c>
    </row>
    <row r="75" spans="1:8" x14ac:dyDescent="0.25">
      <c r="A75" s="73">
        <v>24</v>
      </c>
      <c r="B75" s="7" t="str">
        <f>IF(A75&lt;=CurveCount,INDEX($B$23:$B$46,MATCH(A75,$S$23:$S$46,0)),"")</f>
        <v/>
      </c>
      <c r="C75" s="7" t="str">
        <f>IF(A75&lt;=CurveCount,INDEX($C$23:$C$46,MATCH(A75,$S$23:$S$46,0)),"")</f>
        <v/>
      </c>
      <c r="D75" s="88" t="str">
        <f>IF(A75&lt;=CurveCount,INDEX($O$23:$O$46,MATCH(A75,$S$23:$S$46,0)),"")</f>
        <v/>
      </c>
      <c r="E75" s="90" t="str">
        <f>IF(A75&lt;=CurveCount,INDEX($I$23:$I$46,MATCH(A75,$S$23:$S$46,0)),"")</f>
        <v/>
      </c>
      <c r="F75" s="90" t="str">
        <f>IF(A75&lt;=CurveCount,G74,"")</f>
        <v/>
      </c>
      <c r="G75" s="90" t="str">
        <f>IF(A75&lt;=CurveCount,F75+E75,"")</f>
        <v/>
      </c>
      <c r="H75" s="17" t="str">
        <f>IF(A75&lt;=CurveCount,IF(ISNUMBER(Total_AvoidedRate),IF(D75&lt;=Total_AvoidedRate,"Costs less than the energy it saves","Costs more than the energy it saves"),""),"")</f>
        <v/>
      </c>
    </row>
    <row r="76" spans="2:2" x14ac:dyDescent="0.25">
      <c r="B76" s="18" t="s">
        <v>656</v>
      </c>
    </row>
  </sheetData>
  <pageMargins left="0.45" right="0.45" top="0.7" bottom="0.6" header="0.3" footer="0.3"/>
  <pageSetup paperSize="9" orientation="landscape" horizontalDpi="4294967295" verticalDpi="4294967295" scale="100" fitToWidth="1" fitToHeight="0"/>
  <headerFooter>
    <oddHeader>&amp;L&amp;"Arial"&amp;8Advanced Energy Audit · Demo Foods (Pty) Ltd (fictional)&amp;R&amp;"Arial"&amp;8&amp;A</oddHeader>
    <oddFooter>&amp;L&amp;"Arial"&amp;8Thabiso Kali, Certified Energy Manager · Fictional demonstration&amp;R&amp;"Arial"&amp;8Page &amp;P of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1694A"/>
    <pageSetUpPr fitToPage="1"/>
  </sheetPr>
  <dimension ref="A1:K61"/>
  <sheetViews>
    <sheetView workbookViewId="0" showGridLines="0">
      <pane ySplit="3" topLeftCell="A4" activePane="bottomLeft" state="frozen"/>
      <selection pane="bottomLeft"/>
    </sheetView>
  </sheetViews>
  <sheetFormatPr defaultRowHeight="15" outlineLevelRow="0" outlineLevelCol="0" x14ac:dyDescent="55"/>
  <cols>
    <col min="1" max="1" width="7" customWidth="1"/>
    <col min="2" max="2" width="40" customWidth="1"/>
    <col min="3" max="5" width="15" customWidth="1"/>
    <col min="6" max="8" width="14" customWidth="1"/>
    <col min="9" max="9" width="15" customWidth="1"/>
    <col min="11" max="11" width="16" customWidth="1"/>
  </cols>
  <sheetData>
    <row r="1" ht="26" customHeight="1" spans="1:1" x14ac:dyDescent="0.25">
      <c r="A1" s="31" t="s">
        <v>657</v>
      </c>
    </row>
    <row r="2" spans="1:1" x14ac:dyDescent="0.25">
      <c r="A2" s="32" t="s">
        <v>658</v>
      </c>
    </row>
    <row r="3" spans="1:1" x14ac:dyDescent="0.25">
      <c r="A3" s="33" t="s">
        <v>91</v>
      </c>
    </row>
    <row r="5" ht="18" customHeight="1" spans="1:6" x14ac:dyDescent="0.25">
      <c r="A5" s="5" t="s">
        <v>659</v>
      </c>
      <c r="B5" s="5"/>
      <c r="C5" s="5"/>
      <c r="D5" s="5"/>
      <c r="E5" s="5"/>
      <c r="F5" s="5"/>
    </row>
    <row r="6" spans="2:6" x14ac:dyDescent="0.25">
      <c r="B6" s="7" t="s">
        <v>660</v>
      </c>
      <c r="C6" s="41">
        <v>0.7</v>
      </c>
      <c r="D6" s="27" t="s">
        <v>72</v>
      </c>
      <c r="E6" s="17" t="s">
        <v>661</v>
      </c>
      <c r="F6" s="18" t="s">
        <v>662</v>
      </c>
    </row>
    <row r="7" spans="2:6" x14ac:dyDescent="0.25">
      <c r="B7" s="7" t="s">
        <v>663</v>
      </c>
      <c r="C7" s="34">
        <v>0.115</v>
      </c>
      <c r="D7" s="27" t="s">
        <v>72</v>
      </c>
      <c r="E7" s="17" t="s">
        <v>664</v>
      </c>
      <c r="F7" s="18" t="s">
        <v>665</v>
      </c>
    </row>
    <row r="8" spans="2:6" x14ac:dyDescent="0.25">
      <c r="B8" s="7" t="s">
        <v>666</v>
      </c>
      <c r="C8" s="91">
        <v>5</v>
      </c>
      <c r="D8" s="27" t="s">
        <v>72</v>
      </c>
      <c r="E8" s="17" t="s">
        <v>667</v>
      </c>
      <c r="F8" s="18" t="s">
        <v>668</v>
      </c>
    </row>
    <row r="9" spans="2:6" x14ac:dyDescent="0.25">
      <c r="B9" s="7" t="s">
        <v>669</v>
      </c>
      <c r="C9" s="92">
        <v>1.3</v>
      </c>
      <c r="D9" s="27" t="s">
        <v>72</v>
      </c>
      <c r="E9" s="17" t="s">
        <v>670</v>
      </c>
      <c r="F9" s="18" t="s">
        <v>671</v>
      </c>
    </row>
    <row r="11" ht="18" customHeight="1" spans="1:6" x14ac:dyDescent="0.25">
      <c r="A11" s="5" t="s">
        <v>672</v>
      </c>
      <c r="B11" s="5"/>
      <c r="C11" s="5"/>
      <c r="D11" s="5"/>
      <c r="E11" s="5"/>
      <c r="F11" s="5"/>
    </row>
    <row r="12" spans="2:4" x14ac:dyDescent="0.25">
      <c r="B12" s="7" t="s">
        <v>504</v>
      </c>
      <c r="C12" s="50">
        <f>MAX(0,-CashFlows!$D$34)</f>
        <v>3497273.8327836003</v>
      </c>
      <c r="D12" s="18" t="s">
        <v>673</v>
      </c>
    </row>
    <row r="13" spans="2:4" x14ac:dyDescent="0.25">
      <c r="B13" s="7" t="s">
        <v>674</v>
      </c>
      <c r="C13" s="50">
        <f>LoanShare*C12</f>
        <v>2448091.68294852</v>
      </c>
      <c r="D13" s="18" t="s">
        <v>675</v>
      </c>
    </row>
    <row r="14" spans="2:4" x14ac:dyDescent="0.25">
      <c r="B14" s="7" t="s">
        <v>676</v>
      </c>
      <c r="C14" s="48">
        <f>IF(LoanRate=0,1/LoanTenor,LoanRate*(1+LoanRate)^LoanTenor/((1+LoanRate)^LoanTenor-1))</f>
        <v>0.2739817719728556</v>
      </c>
      <c r="D14" s="18" t="s">
        <v>677</v>
      </c>
    </row>
    <row r="15" spans="2:4" x14ac:dyDescent="0.25">
      <c r="B15" s="7" t="s">
        <v>678</v>
      </c>
      <c r="C15" s="50">
        <f>MIN($D$32:$D$61)</f>
        <v>3266550.992764389</v>
      </c>
      <c r="D15" s="18" t="s">
        <v>679</v>
      </c>
    </row>
    <row r="16" spans="2:4" x14ac:dyDescent="0.25">
      <c r="B16" s="7" t="s">
        <v>680</v>
      </c>
      <c r="C16" s="50">
        <f>MAX(0,C15)/TargetDSCR/C14</f>
        <v>9171163.15732358</v>
      </c>
      <c r="D16" s="18" t="s">
        <v>681</v>
      </c>
    </row>
    <row r="17" spans="2:4" x14ac:dyDescent="0.25">
      <c r="B17" s="7" t="s">
        <v>682</v>
      </c>
      <c r="C17" s="79">
        <f>MIN(C13,C16)</f>
        <v>2448091.68294852</v>
      </c>
      <c r="D17" s="18" t="s">
        <v>683</v>
      </c>
    </row>
    <row r="18" spans="2:4" x14ac:dyDescent="0.25">
      <c r="B18" s="7" t="s">
        <v>684</v>
      </c>
      <c r="C18" s="44" t="str">
        <f>IF(C13&lt;=C16+1E-9,"Debt share","Target DSCR")</f>
        <v>Debt share</v>
      </c>
      <c r="D18" s="18" t="s">
        <v>155</v>
      </c>
    </row>
    <row r="19" spans="2:4" x14ac:dyDescent="0.25">
      <c r="B19" s="7" t="s">
        <v>685</v>
      </c>
      <c r="C19" s="50">
        <f>C17*C14</f>
        <v>670732.4972462457</v>
      </c>
      <c r="D19" s="18" t="s">
        <v>686</v>
      </c>
    </row>
    <row r="20" spans="2:4" x14ac:dyDescent="0.25">
      <c r="B20" s="7" t="s">
        <v>687</v>
      </c>
      <c r="C20" s="93">
        <f>IF(C19&gt;0,MIN($J$32:$J$61),"n/a")</f>
        <v>4.870124835423237</v>
      </c>
      <c r="D20" s="18" t="s">
        <v>688</v>
      </c>
    </row>
    <row r="21" spans="2:4" x14ac:dyDescent="0.25">
      <c r="B21" s="7" t="s">
        <v>689</v>
      </c>
      <c r="C21" s="94">
        <f>IF(C19&gt;0,AVERAGE($J$32:$J$61),"n/a")</f>
        <v>5.626877608881541</v>
      </c>
      <c r="D21" s="18" t="s">
        <v>690</v>
      </c>
    </row>
    <row r="22" spans="2:4" x14ac:dyDescent="0.25">
      <c r="B22" s="7" t="s">
        <v>691</v>
      </c>
      <c r="C22" s="50">
        <f>C12-C17</f>
        <v>1049182.1498350804</v>
      </c>
      <c r="D22" s="18" t="s">
        <v>692</v>
      </c>
    </row>
    <row r="23" spans="2:4" x14ac:dyDescent="0.25">
      <c r="B23" s="7" t="s">
        <v>693</v>
      </c>
      <c r="C23" s="65">
        <f>IF(C22&gt;1E-9,IFERROR(IRR($K$31:$K$61),"n/a"),"n/a")</f>
        <v>2.5701756909423232</v>
      </c>
      <c r="D23" s="18" t="s">
        <v>694</v>
      </c>
    </row>
    <row r="24" spans="2:4" x14ac:dyDescent="0.25">
      <c r="B24" s="7" t="s">
        <v>695</v>
      </c>
      <c r="C24" s="50">
        <f>$K$31+NPV(DiscountRate,$K$32:$K$61)</f>
        <v>23618205.09824371</v>
      </c>
      <c r="D24" s="18" t="s">
        <v>696</v>
      </c>
    </row>
    <row r="25" spans="2:4" x14ac:dyDescent="0.25">
      <c r="B25" s="7" t="s">
        <v>697</v>
      </c>
      <c r="C25" s="44" t="str">
        <f>IF(AND(C19&gt;0,ISNUMBER(C20)),IF(C20&gt;=TargetDSCR-1E-9,"Yes","No"),"No loan")</f>
        <v>Yes</v>
      </c>
      <c r="D25" s="18" t="s">
        <v>155</v>
      </c>
    </row>
    <row r="27" spans="2:2" x14ac:dyDescent="0.25">
      <c r="B27" s="18" t="s">
        <v>698</v>
      </c>
    </row>
    <row r="29" ht="18" customHeight="1" spans="1:11" x14ac:dyDescent="0.25">
      <c r="A29" s="5" t="s">
        <v>699</v>
      </c>
      <c r="B29" s="5"/>
      <c r="C29" s="5"/>
      <c r="D29" s="5"/>
      <c r="E29" s="5"/>
      <c r="F29" s="5"/>
      <c r="G29" s="5"/>
      <c r="H29" s="5"/>
      <c r="I29" s="5"/>
      <c r="J29" s="5"/>
      <c r="K29" s="5"/>
    </row>
    <row r="30" ht="32" customHeight="1" spans="1:11" x14ac:dyDescent="0.25">
      <c r="A30" s="15" t="s">
        <v>700</v>
      </c>
      <c r="B30" s="16" t="s">
        <v>701</v>
      </c>
      <c r="C30" s="16" t="s">
        <v>702</v>
      </c>
      <c r="D30" s="16" t="s">
        <v>703</v>
      </c>
      <c r="E30" s="16" t="s">
        <v>704</v>
      </c>
      <c r="F30" s="16" t="s">
        <v>705</v>
      </c>
      <c r="G30" s="16" t="s">
        <v>706</v>
      </c>
      <c r="H30" s="16" t="s">
        <v>707</v>
      </c>
      <c r="I30" s="16" t="s">
        <v>708</v>
      </c>
      <c r="J30" s="16" t="s">
        <v>709</v>
      </c>
      <c r="K30" s="16" t="s">
        <v>710</v>
      </c>
    </row>
    <row r="31" spans="1:11" x14ac:dyDescent="0.25">
      <c r="A31" s="73">
        <v>0</v>
      </c>
      <c r="B31" s="84">
        <f>CashFlows!$D$34</f>
        <v>-3497273.8327836003</v>
      </c>
      <c r="I31" s="50">
        <f>$C$17</f>
        <v>2448091.68294852</v>
      </c>
      <c r="K31" s="50">
        <f>B31+$C$17</f>
        <v>-1049182.1498350804</v>
      </c>
    </row>
    <row r="32" spans="1:11" x14ac:dyDescent="0.25">
      <c r="A32" s="73">
        <v>1</v>
      </c>
      <c r="B32" s="84">
        <f>CashFlows!$E$34</f>
        <v>3266550.992764389</v>
      </c>
      <c r="C32" s="73">
        <f>IF(A32&lt;=LoanTenor,1,0)</f>
        <v>1</v>
      </c>
      <c r="D32" s="50">
        <f>IF(C32=1,B32,"")</f>
        <v>3266550.992764389</v>
      </c>
      <c r="E32" s="50">
        <f>I31</f>
        <v>2448091.68294852</v>
      </c>
      <c r="F32" s="50">
        <f>IF(C32=1,E32*LoanRate,0)</f>
        <v>281530.5435390798</v>
      </c>
      <c r="G32" s="50">
        <f>IF(C32=1,$C$19,0)</f>
        <v>670732.4972462457</v>
      </c>
      <c r="H32" s="50">
        <f>G32-F32</f>
        <v>389201.95370716596</v>
      </c>
      <c r="I32" s="50">
        <f>E32-H32</f>
        <v>2058889.729241354</v>
      </c>
      <c r="J32" s="94">
        <f>IF(AND(C32=1,G32&gt;0),B32/G32,"")</f>
        <v>4.870124835423237</v>
      </c>
      <c r="K32" s="50">
        <f>B32-G32</f>
        <v>2595818.4955181433</v>
      </c>
    </row>
    <row r="33" spans="1:11" x14ac:dyDescent="0.25">
      <c r="A33" s="73">
        <v>2</v>
      </c>
      <c r="B33" s="84">
        <f>CashFlows!$F$34</f>
        <v>3527875.0721855396</v>
      </c>
      <c r="C33" s="73">
        <f>IF(A33&lt;=LoanTenor,1,0)</f>
        <v>1</v>
      </c>
      <c r="D33" s="50">
        <f>IF(C33=1,B33,"")</f>
        <v>3527875.0721855396</v>
      </c>
      <c r="E33" s="50">
        <f>I32</f>
        <v>2058889.729241354</v>
      </c>
      <c r="F33" s="50">
        <f>IF(C33=1,E33*LoanRate,0)</f>
        <v>236772.31886275572</v>
      </c>
      <c r="G33" s="50">
        <f>IF(C33=1,$C$19,0)</f>
        <v>670732.4972462457</v>
      </c>
      <c r="H33" s="50">
        <f>G33-F33</f>
        <v>433960.17838349</v>
      </c>
      <c r="I33" s="50">
        <f>E33-H33</f>
        <v>1624929.5508578639</v>
      </c>
      <c r="J33" s="94">
        <f>IF(AND(C33=1,G33&gt;0),B33/G33,"")</f>
        <v>5.259734822257095</v>
      </c>
      <c r="K33" s="50">
        <f>B33-G33</f>
        <v>2857142.574939294</v>
      </c>
    </row>
    <row r="34" spans="1:11" x14ac:dyDescent="0.25">
      <c r="A34" s="73">
        <v>3</v>
      </c>
      <c r="B34" s="84">
        <f>CashFlows!$G$34</f>
        <v>3810105.077960384</v>
      </c>
      <c r="C34" s="73">
        <f>IF(A34&lt;=LoanTenor,1,0)</f>
        <v>1</v>
      </c>
      <c r="D34" s="50">
        <f>IF(C34=1,B34,"")</f>
        <v>3810105.077960384</v>
      </c>
      <c r="E34" s="50">
        <f>I33</f>
        <v>1624929.5508578639</v>
      </c>
      <c r="F34" s="50">
        <f>IF(C34=1,E34*LoanRate,0)</f>
        <v>186866.89834865436</v>
      </c>
      <c r="G34" s="50">
        <f>IF(C34=1,$C$19,0)</f>
        <v>670732.4972462457</v>
      </c>
      <c r="H34" s="50">
        <f>G34-F34</f>
        <v>483865.59889759135</v>
      </c>
      <c r="I34" s="50">
        <f>E34-H34</f>
        <v>1141063.9519602726</v>
      </c>
      <c r="J34" s="94">
        <f>IF(AND(C34=1,G34&gt;0),B34/G34,"")</f>
        <v>5.680513608037664</v>
      </c>
      <c r="K34" s="50">
        <f>B34-G34</f>
        <v>3139372.580714138</v>
      </c>
    </row>
    <row r="35" spans="1:11" x14ac:dyDescent="0.25">
      <c r="A35" s="73">
        <v>4</v>
      </c>
      <c r="B35" s="84">
        <f>CashFlows!$H$34</f>
        <v>3974094.8118318203</v>
      </c>
      <c r="C35" s="73">
        <f>IF(A35&lt;=LoanTenor,1,0)</f>
        <v>1</v>
      </c>
      <c r="D35" s="50">
        <f>IF(C35=1,B35,"")</f>
        <v>3974094.8118318203</v>
      </c>
      <c r="E35" s="50">
        <f>I34</f>
        <v>1141063.9519602726</v>
      </c>
      <c r="F35" s="50">
        <f>IF(C35=1,E35*LoanRate,0)</f>
        <v>131222.35447543135</v>
      </c>
      <c r="G35" s="50">
        <f>IF(C35=1,$C$19,0)</f>
        <v>670732.4972462457</v>
      </c>
      <c r="H35" s="50">
        <f>G35-F35</f>
        <v>539510.1427708144</v>
      </c>
      <c r="I35" s="50">
        <f>E35-H35</f>
        <v>601553.8091894583</v>
      </c>
      <c r="J35" s="94">
        <f>IF(AND(C35=1,G35&gt;0),B35/G35,"")</f>
        <v>5.925007105139283</v>
      </c>
      <c r="K35" s="50">
        <f>B35-G35</f>
        <v>3303362.3145855744</v>
      </c>
    </row>
    <row r="36" spans="1:11" x14ac:dyDescent="0.25">
      <c r="A36" s="73">
        <v>5</v>
      </c>
      <c r="B36" s="84">
        <f>CashFlows!$I$34</f>
        <v>4292022.3967783665</v>
      </c>
      <c r="C36" s="73">
        <f>IF(A36&lt;=LoanTenor,1,0)</f>
        <v>1</v>
      </c>
      <c r="D36" s="50">
        <f>IF(C36=1,B36,"")</f>
        <v>4292022.3967783665</v>
      </c>
      <c r="E36" s="50">
        <f>I35</f>
        <v>601553.8091894583</v>
      </c>
      <c r="F36" s="50">
        <f>IF(C36=1,E36*LoanRate,0)</f>
        <v>69178.68805678771</v>
      </c>
      <c r="G36" s="50">
        <f>IF(C36=1,$C$19,0)</f>
        <v>670732.4972462457</v>
      </c>
      <c r="H36" s="50">
        <f>G36-F36</f>
        <v>601553.809189458</v>
      </c>
      <c r="I36" s="50">
        <f>E36-H36</f>
        <v>0</v>
      </c>
      <c r="J36" s="94">
        <f>IF(AND(C36=1,G36&gt;0),B36/G36,"")</f>
        <v>6.399007673550426</v>
      </c>
      <c r="K36" s="50">
        <f>B36-G36</f>
        <v>3621289.8995321207</v>
      </c>
    </row>
    <row r="37" spans="1:11" x14ac:dyDescent="0.25">
      <c r="A37" s="73">
        <v>6</v>
      </c>
      <c r="B37" s="84">
        <f>CashFlows!$J$34</f>
        <v>3435498.920739592</v>
      </c>
      <c r="C37" s="73">
        <f>IF(A37&lt;=LoanTenor,1,0)</f>
        <v>0</v>
      </c>
      <c r="D37" s="95" t="str">
        <f>IF(C37=1,B37,"")</f>
        <v/>
      </c>
      <c r="E37" s="50">
        <f>I36</f>
        <v>0</v>
      </c>
      <c r="F37" s="50">
        <f>IF(C37=1,E37*LoanRate,0)</f>
        <v>0</v>
      </c>
      <c r="G37" s="50">
        <f>IF(C37=1,$C$19,0)</f>
        <v>0</v>
      </c>
      <c r="H37" s="50">
        <f>G37-F37</f>
        <v>0</v>
      </c>
      <c r="I37" s="50">
        <f>E37-H37</f>
        <v>0</v>
      </c>
      <c r="J37" s="96" t="str">
        <f>IF(AND(C37=1,G37&gt;0),B37/G37,"")</f>
        <v/>
      </c>
      <c r="K37" s="50">
        <f>B37-G37</f>
        <v>3435498.920739592</v>
      </c>
    </row>
    <row r="38" spans="1:11" x14ac:dyDescent="0.25">
      <c r="A38" s="73">
        <v>7</v>
      </c>
      <c r="B38" s="84">
        <f>CashFlows!$K$34</f>
        <v>3710338.834398759</v>
      </c>
      <c r="C38" s="73">
        <f>IF(A38&lt;=LoanTenor,1,0)</f>
        <v>0</v>
      </c>
      <c r="D38" s="95" t="str">
        <f>IF(C38=1,B38,"")</f>
        <v/>
      </c>
      <c r="E38" s="50">
        <f>I37</f>
        <v>0</v>
      </c>
      <c r="F38" s="50">
        <f>IF(C38=1,E38*LoanRate,0)</f>
        <v>0</v>
      </c>
      <c r="G38" s="50">
        <f>IF(C38=1,$C$19,0)</f>
        <v>0</v>
      </c>
      <c r="H38" s="50">
        <f>G38-F38</f>
        <v>0</v>
      </c>
      <c r="I38" s="50">
        <f>E38-H38</f>
        <v>0</v>
      </c>
      <c r="J38" s="96" t="str">
        <f>IF(AND(C38=1,G38&gt;0),B38/G38,"")</f>
        <v/>
      </c>
      <c r="K38" s="50">
        <f>B38-G38</f>
        <v>3710338.834398759</v>
      </c>
    </row>
    <row r="39" spans="1:11" x14ac:dyDescent="0.25">
      <c r="A39" s="73">
        <v>8</v>
      </c>
      <c r="B39" s="84">
        <f>CashFlows!$L$34</f>
        <v>4007165.94115066</v>
      </c>
      <c r="C39" s="73">
        <f>IF(A39&lt;=LoanTenor,1,0)</f>
        <v>0</v>
      </c>
      <c r="D39" s="95" t="str">
        <f>IF(C39=1,B39,"")</f>
        <v/>
      </c>
      <c r="E39" s="50">
        <f>I38</f>
        <v>0</v>
      </c>
      <c r="F39" s="50">
        <f>IF(C39=1,E39*LoanRate,0)</f>
        <v>0</v>
      </c>
      <c r="G39" s="50">
        <f>IF(C39=1,$C$19,0)</f>
        <v>0</v>
      </c>
      <c r="H39" s="50">
        <f>G39-F39</f>
        <v>0</v>
      </c>
      <c r="I39" s="50">
        <f>E39-H39</f>
        <v>0</v>
      </c>
      <c r="J39" s="96" t="str">
        <f>IF(AND(C39=1,G39&gt;0),B39/G39,"")</f>
        <v/>
      </c>
      <c r="K39" s="50">
        <f>B39-G39</f>
        <v>4007165.94115066</v>
      </c>
    </row>
    <row r="40" spans="1:11" x14ac:dyDescent="0.25">
      <c r="A40" s="73">
        <v>9</v>
      </c>
      <c r="B40" s="84">
        <f>CashFlows!$M$34</f>
        <v>4327739.2164427135</v>
      </c>
      <c r="C40" s="73">
        <f>IF(A40&lt;=LoanTenor,1,0)</f>
        <v>0</v>
      </c>
      <c r="D40" s="95" t="str">
        <f>IF(C40=1,B40,"")</f>
        <v/>
      </c>
      <c r="E40" s="50">
        <f>I39</f>
        <v>0</v>
      </c>
      <c r="F40" s="50">
        <f>IF(C40=1,E40*LoanRate,0)</f>
        <v>0</v>
      </c>
      <c r="G40" s="50">
        <f>IF(C40=1,$C$19,0)</f>
        <v>0</v>
      </c>
      <c r="H40" s="50">
        <f>G40-F40</f>
        <v>0</v>
      </c>
      <c r="I40" s="50">
        <f>E40-H40</f>
        <v>0</v>
      </c>
      <c r="J40" s="96" t="str">
        <f>IF(AND(C40=1,G40&gt;0),B40/G40,"")</f>
        <v/>
      </c>
      <c r="K40" s="50">
        <f>B40-G40</f>
        <v>4327739.2164427135</v>
      </c>
    </row>
    <row r="41" spans="1:11" x14ac:dyDescent="0.25">
      <c r="A41" s="73">
        <v>10</v>
      </c>
      <c r="B41" s="84">
        <f>CashFlows!$N$34</f>
        <v>4673958.35375813</v>
      </c>
      <c r="C41" s="73">
        <f>IF(A41&lt;=LoanTenor,1,0)</f>
        <v>0</v>
      </c>
      <c r="D41" s="95" t="str">
        <f>IF(C41=1,B41,"")</f>
        <v/>
      </c>
      <c r="E41" s="50">
        <f>I40</f>
        <v>0</v>
      </c>
      <c r="F41" s="50">
        <f>IF(C41=1,E41*LoanRate,0)</f>
        <v>0</v>
      </c>
      <c r="G41" s="50">
        <f>IF(C41=1,$C$19,0)</f>
        <v>0</v>
      </c>
      <c r="H41" s="50">
        <f>G41-F41</f>
        <v>0</v>
      </c>
      <c r="I41" s="50">
        <f>E41-H41</f>
        <v>0</v>
      </c>
      <c r="J41" s="96" t="str">
        <f>IF(AND(C41=1,G41&gt;0),B41/G41,"")</f>
        <v/>
      </c>
      <c r="K41" s="50">
        <f>B41-G41</f>
        <v>4673958.35375813</v>
      </c>
    </row>
    <row r="42" spans="1:11" x14ac:dyDescent="0.25">
      <c r="A42" s="73">
        <v>11</v>
      </c>
      <c r="B42" s="84">
        <f>CashFlows!$O$34</f>
        <v>3295859.009371413</v>
      </c>
      <c r="C42" s="73">
        <f>IF(A42&lt;=LoanTenor,1,0)</f>
        <v>0</v>
      </c>
      <c r="D42" s="95" t="str">
        <f>IF(C42=1,B42,"")</f>
        <v/>
      </c>
      <c r="E42" s="50">
        <f>I41</f>
        <v>0</v>
      </c>
      <c r="F42" s="50">
        <f>IF(C42=1,E42*LoanRate,0)</f>
        <v>0</v>
      </c>
      <c r="G42" s="50">
        <f>IF(C42=1,$C$19,0)</f>
        <v>0</v>
      </c>
      <c r="H42" s="50">
        <f>G42-F42</f>
        <v>0</v>
      </c>
      <c r="I42" s="50">
        <f>E42-H42</f>
        <v>0</v>
      </c>
      <c r="J42" s="96" t="str">
        <f>IF(AND(C42=1,G42&gt;0),B42/G42,"")</f>
        <v/>
      </c>
      <c r="K42" s="50">
        <f>B42-G42</f>
        <v>3295859.009371413</v>
      </c>
    </row>
    <row r="43" spans="1:11" x14ac:dyDescent="0.25">
      <c r="A43" s="73">
        <v>12</v>
      </c>
      <c r="B43" s="84">
        <f>CashFlows!$P$34</f>
        <v>3559527.7301211255</v>
      </c>
      <c r="C43" s="73">
        <f>IF(A43&lt;=LoanTenor,1,0)</f>
        <v>0</v>
      </c>
      <c r="D43" s="95" t="str">
        <f>IF(C43=1,B43,"")</f>
        <v/>
      </c>
      <c r="E43" s="50">
        <f>I42</f>
        <v>0</v>
      </c>
      <c r="F43" s="50">
        <f>IF(C43=1,E43*LoanRate,0)</f>
        <v>0</v>
      </c>
      <c r="G43" s="50">
        <f>IF(C43=1,$C$19,0)</f>
        <v>0</v>
      </c>
      <c r="H43" s="50">
        <f>G43-F43</f>
        <v>0</v>
      </c>
      <c r="I43" s="50">
        <f>E43-H43</f>
        <v>0</v>
      </c>
      <c r="J43" s="96" t="str">
        <f>IF(AND(C43=1,G43&gt;0),B43/G43,"")</f>
        <v/>
      </c>
      <c r="K43" s="50">
        <f>B43-G43</f>
        <v>3559527.7301211255</v>
      </c>
    </row>
    <row r="44" spans="1:11" x14ac:dyDescent="0.25">
      <c r="A44" s="73">
        <v>13</v>
      </c>
      <c r="B44" s="84">
        <f>CashFlows!$Q$34</f>
        <v>3844289.9485308165</v>
      </c>
      <c r="C44" s="73">
        <f>IF(A44&lt;=LoanTenor,1,0)</f>
        <v>0</v>
      </c>
      <c r="D44" s="95" t="str">
        <f>IF(C44=1,B44,"")</f>
        <v/>
      </c>
      <c r="E44" s="50">
        <f>I43</f>
        <v>0</v>
      </c>
      <c r="F44" s="50">
        <f>IF(C44=1,E44*LoanRate,0)</f>
        <v>0</v>
      </c>
      <c r="G44" s="50">
        <f>IF(C44=1,$C$19,0)</f>
        <v>0</v>
      </c>
      <c r="H44" s="50">
        <f>G44-F44</f>
        <v>0</v>
      </c>
      <c r="I44" s="50">
        <f>E44-H44</f>
        <v>0</v>
      </c>
      <c r="J44" s="96" t="str">
        <f>IF(AND(C44=1,G44&gt;0),B44/G44,"")</f>
        <v/>
      </c>
      <c r="K44" s="50">
        <f>B44-G44</f>
        <v>3844289.9485308165</v>
      </c>
    </row>
    <row r="45" spans="1:11" x14ac:dyDescent="0.25">
      <c r="A45" s="73">
        <v>14</v>
      </c>
      <c r="B45" s="84">
        <f>CashFlows!$R$34</f>
        <v>4151833.144413281</v>
      </c>
      <c r="C45" s="73">
        <f>IF(A45&lt;=LoanTenor,1,0)</f>
        <v>0</v>
      </c>
      <c r="D45" s="95" t="str">
        <f>IF(C45=1,B45,"")</f>
        <v/>
      </c>
      <c r="E45" s="50">
        <f>I44</f>
        <v>0</v>
      </c>
      <c r="F45" s="50">
        <f>IF(C45=1,E45*LoanRate,0)</f>
        <v>0</v>
      </c>
      <c r="G45" s="50">
        <f>IF(C45=1,$C$19,0)</f>
        <v>0</v>
      </c>
      <c r="H45" s="50">
        <f>G45-F45</f>
        <v>0</v>
      </c>
      <c r="I45" s="50">
        <f>E45-H45</f>
        <v>0</v>
      </c>
      <c r="J45" s="96" t="str">
        <f>IF(AND(C45=1,G45&gt;0),B45/G45,"")</f>
        <v/>
      </c>
      <c r="K45" s="50">
        <f>B45-G45</f>
        <v>4151833.144413281</v>
      </c>
    </row>
    <row r="46" spans="1:11" x14ac:dyDescent="0.25">
      <c r="A46" s="73">
        <v>15</v>
      </c>
      <c r="B46" s="84">
        <f>CashFlows!$S$34</f>
        <v>4483979.795966344</v>
      </c>
      <c r="C46" s="73">
        <f>IF(A46&lt;=LoanTenor,1,0)</f>
        <v>0</v>
      </c>
      <c r="D46" s="95" t="str">
        <f>IF(C46=1,B46,"")</f>
        <v/>
      </c>
      <c r="E46" s="50">
        <f>I45</f>
        <v>0</v>
      </c>
      <c r="F46" s="50">
        <f>IF(C46=1,E46*LoanRate,0)</f>
        <v>0</v>
      </c>
      <c r="G46" s="50">
        <f>IF(C46=1,$C$19,0)</f>
        <v>0</v>
      </c>
      <c r="H46" s="50">
        <f>G46-F46</f>
        <v>0</v>
      </c>
      <c r="I46" s="50">
        <f>E46-H46</f>
        <v>0</v>
      </c>
      <c r="J46" s="96" t="str">
        <f>IF(AND(C46=1,G46&gt;0),B46/G46,"")</f>
        <v/>
      </c>
      <c r="K46" s="50">
        <f>B46-G46</f>
        <v>4483979.795966344</v>
      </c>
    </row>
    <row r="47" spans="1:11" x14ac:dyDescent="0.25">
      <c r="A47" s="73">
        <v>16</v>
      </c>
      <c r="B47" s="84">
        <f>CashFlows!$T$34</f>
        <v>1540119.214010177</v>
      </c>
      <c r="C47" s="73">
        <f>IF(A47&lt;=LoanTenor,1,0)</f>
        <v>0</v>
      </c>
      <c r="D47" s="95" t="str">
        <f>IF(C47=1,B47,"")</f>
        <v/>
      </c>
      <c r="E47" s="50">
        <f>I46</f>
        <v>0</v>
      </c>
      <c r="F47" s="50">
        <f>IF(C47=1,E47*LoanRate,0)</f>
        <v>0</v>
      </c>
      <c r="G47" s="50">
        <f>IF(C47=1,$C$19,0)</f>
        <v>0</v>
      </c>
      <c r="H47" s="50">
        <f>G47-F47</f>
        <v>0</v>
      </c>
      <c r="I47" s="50">
        <f>E47-H47</f>
        <v>0</v>
      </c>
      <c r="J47" s="96" t="str">
        <f>IF(AND(C47=1,G47&gt;0),B47/G47,"")</f>
        <v/>
      </c>
      <c r="K47" s="50">
        <f>B47-G47</f>
        <v>1540119.214010177</v>
      </c>
    </row>
    <row r="48" spans="1:11" x14ac:dyDescent="0.25">
      <c r="A48" s="73">
        <v>17</v>
      </c>
      <c r="B48" s="84">
        <f>CashFlows!$U$34</f>
        <v>1663328.7511309914</v>
      </c>
      <c r="C48" s="73">
        <f>IF(A48&lt;=LoanTenor,1,0)</f>
        <v>0</v>
      </c>
      <c r="D48" s="95" t="str">
        <f>IF(C48=1,B48,"")</f>
        <v/>
      </c>
      <c r="E48" s="50">
        <f>I47</f>
        <v>0</v>
      </c>
      <c r="F48" s="50">
        <f>IF(C48=1,E48*LoanRate,0)</f>
        <v>0</v>
      </c>
      <c r="G48" s="50">
        <f>IF(C48=1,$C$19,0)</f>
        <v>0</v>
      </c>
      <c r="H48" s="50">
        <f>G48-F48</f>
        <v>0</v>
      </c>
      <c r="I48" s="50">
        <f>E48-H48</f>
        <v>0</v>
      </c>
      <c r="J48" s="96" t="str">
        <f>IF(AND(C48=1,G48&gt;0),B48/G48,"")</f>
        <v/>
      </c>
      <c r="K48" s="50">
        <f>B48-G48</f>
        <v>1663328.7511309914</v>
      </c>
    </row>
    <row r="49" spans="1:11" x14ac:dyDescent="0.25">
      <c r="A49" s="73">
        <v>18</v>
      </c>
      <c r="B49" s="84">
        <f>CashFlows!$V$34</f>
        <v>1796395.0512214708</v>
      </c>
      <c r="C49" s="73">
        <f>IF(A49&lt;=LoanTenor,1,0)</f>
        <v>0</v>
      </c>
      <c r="D49" s="95" t="str">
        <f>IF(C49=1,B49,"")</f>
        <v/>
      </c>
      <c r="E49" s="50">
        <f>I48</f>
        <v>0</v>
      </c>
      <c r="F49" s="50">
        <f>IF(C49=1,E49*LoanRate,0)</f>
        <v>0</v>
      </c>
      <c r="G49" s="50">
        <f>IF(C49=1,$C$19,0)</f>
        <v>0</v>
      </c>
      <c r="H49" s="50">
        <f>G49-F49</f>
        <v>0</v>
      </c>
      <c r="I49" s="50">
        <f>E49-H49</f>
        <v>0</v>
      </c>
      <c r="J49" s="96" t="str">
        <f>IF(AND(C49=1,G49&gt;0),B49/G49,"")</f>
        <v/>
      </c>
      <c r="K49" s="50">
        <f>B49-G49</f>
        <v>1796395.0512214708</v>
      </c>
    </row>
    <row r="50" spans="1:11" x14ac:dyDescent="0.25">
      <c r="A50" s="73">
        <v>19</v>
      </c>
      <c r="B50" s="84">
        <f>CashFlows!$W$34</f>
        <v>1940106.6553191887</v>
      </c>
      <c r="C50" s="73">
        <f>IF(A50&lt;=LoanTenor,1,0)</f>
        <v>0</v>
      </c>
      <c r="D50" s="95" t="str">
        <f>IF(C50=1,B50,"")</f>
        <v/>
      </c>
      <c r="E50" s="50">
        <f>I49</f>
        <v>0</v>
      </c>
      <c r="F50" s="50">
        <f>IF(C50=1,E50*LoanRate,0)</f>
        <v>0</v>
      </c>
      <c r="G50" s="50">
        <f>IF(C50=1,$C$19,0)</f>
        <v>0</v>
      </c>
      <c r="H50" s="50">
        <f>G50-F50</f>
        <v>0</v>
      </c>
      <c r="I50" s="50">
        <f>E50-H50</f>
        <v>0</v>
      </c>
      <c r="J50" s="96" t="str">
        <f>IF(AND(C50=1,G50&gt;0),B50/G50,"")</f>
        <v/>
      </c>
      <c r="K50" s="50">
        <f>B50-G50</f>
        <v>1940106.6553191887</v>
      </c>
    </row>
    <row r="51" spans="1:11" x14ac:dyDescent="0.25">
      <c r="A51" s="73">
        <v>20</v>
      </c>
      <c r="B51" s="84">
        <f>CashFlows!$X$34</f>
        <v>2095315.1877447236</v>
      </c>
      <c r="C51" s="73">
        <f>IF(A51&lt;=LoanTenor,1,0)</f>
        <v>0</v>
      </c>
      <c r="D51" s="95" t="str">
        <f>IF(C51=1,B51,"")</f>
        <v/>
      </c>
      <c r="E51" s="50">
        <f>I50</f>
        <v>0</v>
      </c>
      <c r="F51" s="50">
        <f>IF(C51=1,E51*LoanRate,0)</f>
        <v>0</v>
      </c>
      <c r="G51" s="50">
        <f>IF(C51=1,$C$19,0)</f>
        <v>0</v>
      </c>
      <c r="H51" s="50">
        <f>G51-F51</f>
        <v>0</v>
      </c>
      <c r="I51" s="50">
        <f>E51-H51</f>
        <v>0</v>
      </c>
      <c r="J51" s="96" t="str">
        <f>IF(AND(C51=1,G51&gt;0),B51/G51,"")</f>
        <v/>
      </c>
      <c r="K51" s="50">
        <f>B51-G51</f>
        <v>2095315.1877447236</v>
      </c>
    </row>
    <row r="52" spans="1:11" x14ac:dyDescent="0.25">
      <c r="A52" s="73">
        <v>21</v>
      </c>
      <c r="B52" s="50">
        <v>0</v>
      </c>
      <c r="C52" s="73">
        <f>IF(A52&lt;=LoanTenor,1,0)</f>
        <v>0</v>
      </c>
      <c r="D52" s="95" t="str">
        <f>IF(C52=1,B52,"")</f>
        <v/>
      </c>
      <c r="E52" s="50">
        <f>I51</f>
        <v>0</v>
      </c>
      <c r="F52" s="50">
        <f>IF(C52=1,E52*LoanRate,0)</f>
        <v>0</v>
      </c>
      <c r="G52" s="50">
        <f>IF(C52=1,$C$19,0)</f>
        <v>0</v>
      </c>
      <c r="H52" s="50">
        <f>G52-F52</f>
        <v>0</v>
      </c>
      <c r="I52" s="50">
        <f>E52-H52</f>
        <v>0</v>
      </c>
      <c r="J52" s="96" t="str">
        <f>IF(AND(C52=1,G52&gt;0),B52/G52,"")</f>
        <v/>
      </c>
      <c r="K52" s="50">
        <f>B52-G52</f>
        <v>0</v>
      </c>
    </row>
    <row r="53" spans="1:11" x14ac:dyDescent="0.25">
      <c r="A53" s="73">
        <v>22</v>
      </c>
      <c r="B53" s="50">
        <v>0</v>
      </c>
      <c r="C53" s="73">
        <f>IF(A53&lt;=LoanTenor,1,0)</f>
        <v>0</v>
      </c>
      <c r="D53" s="95" t="str">
        <f>IF(C53=1,B53,"")</f>
        <v/>
      </c>
      <c r="E53" s="50">
        <f>I52</f>
        <v>0</v>
      </c>
      <c r="F53" s="50">
        <f>IF(C53=1,E53*LoanRate,0)</f>
        <v>0</v>
      </c>
      <c r="G53" s="50">
        <f>IF(C53=1,$C$19,0)</f>
        <v>0</v>
      </c>
      <c r="H53" s="50">
        <f>G53-F53</f>
        <v>0</v>
      </c>
      <c r="I53" s="50">
        <f>E53-H53</f>
        <v>0</v>
      </c>
      <c r="J53" s="96" t="str">
        <f>IF(AND(C53=1,G53&gt;0),B53/G53,"")</f>
        <v/>
      </c>
      <c r="K53" s="50">
        <f>B53-G53</f>
        <v>0</v>
      </c>
    </row>
    <row r="54" spans="1:11" x14ac:dyDescent="0.25">
      <c r="A54" s="73">
        <v>23</v>
      </c>
      <c r="B54" s="50">
        <v>0</v>
      </c>
      <c r="C54" s="73">
        <f>IF(A54&lt;=LoanTenor,1,0)</f>
        <v>0</v>
      </c>
      <c r="D54" s="95" t="str">
        <f>IF(C54=1,B54,"")</f>
        <v/>
      </c>
      <c r="E54" s="50">
        <f>I53</f>
        <v>0</v>
      </c>
      <c r="F54" s="50">
        <f>IF(C54=1,E54*LoanRate,0)</f>
        <v>0</v>
      </c>
      <c r="G54" s="50">
        <f>IF(C54=1,$C$19,0)</f>
        <v>0</v>
      </c>
      <c r="H54" s="50">
        <f>G54-F54</f>
        <v>0</v>
      </c>
      <c r="I54" s="50">
        <f>E54-H54</f>
        <v>0</v>
      </c>
      <c r="J54" s="96" t="str">
        <f>IF(AND(C54=1,G54&gt;0),B54/G54,"")</f>
        <v/>
      </c>
      <c r="K54" s="50">
        <f>B54-G54</f>
        <v>0</v>
      </c>
    </row>
    <row r="55" spans="1:11" x14ac:dyDescent="0.25">
      <c r="A55" s="73">
        <v>24</v>
      </c>
      <c r="B55" s="50">
        <v>0</v>
      </c>
      <c r="C55" s="73">
        <f>IF(A55&lt;=LoanTenor,1,0)</f>
        <v>0</v>
      </c>
      <c r="D55" s="95" t="str">
        <f>IF(C55=1,B55,"")</f>
        <v/>
      </c>
      <c r="E55" s="50">
        <f>I54</f>
        <v>0</v>
      </c>
      <c r="F55" s="50">
        <f>IF(C55=1,E55*LoanRate,0)</f>
        <v>0</v>
      </c>
      <c r="G55" s="50">
        <f>IF(C55=1,$C$19,0)</f>
        <v>0</v>
      </c>
      <c r="H55" s="50">
        <f>G55-F55</f>
        <v>0</v>
      </c>
      <c r="I55" s="50">
        <f>E55-H55</f>
        <v>0</v>
      </c>
      <c r="J55" s="96" t="str">
        <f>IF(AND(C55=1,G55&gt;0),B55/G55,"")</f>
        <v/>
      </c>
      <c r="K55" s="50">
        <f>B55-G55</f>
        <v>0</v>
      </c>
    </row>
    <row r="56" spans="1:11" x14ac:dyDescent="0.25">
      <c r="A56" s="73">
        <v>25</v>
      </c>
      <c r="B56" s="50">
        <v>0</v>
      </c>
      <c r="C56" s="73">
        <f>IF(A56&lt;=LoanTenor,1,0)</f>
        <v>0</v>
      </c>
      <c r="D56" s="95" t="str">
        <f>IF(C56=1,B56,"")</f>
        <v/>
      </c>
      <c r="E56" s="50">
        <f>I55</f>
        <v>0</v>
      </c>
      <c r="F56" s="50">
        <f>IF(C56=1,E56*LoanRate,0)</f>
        <v>0</v>
      </c>
      <c r="G56" s="50">
        <f>IF(C56=1,$C$19,0)</f>
        <v>0</v>
      </c>
      <c r="H56" s="50">
        <f>G56-F56</f>
        <v>0</v>
      </c>
      <c r="I56" s="50">
        <f>E56-H56</f>
        <v>0</v>
      </c>
      <c r="J56" s="96" t="str">
        <f>IF(AND(C56=1,G56&gt;0),B56/G56,"")</f>
        <v/>
      </c>
      <c r="K56" s="50">
        <f>B56-G56</f>
        <v>0</v>
      </c>
    </row>
    <row r="57" spans="1:11" x14ac:dyDescent="0.25">
      <c r="A57" s="73">
        <v>26</v>
      </c>
      <c r="B57" s="50">
        <v>0</v>
      </c>
      <c r="C57" s="73">
        <f>IF(A57&lt;=LoanTenor,1,0)</f>
        <v>0</v>
      </c>
      <c r="D57" s="95" t="str">
        <f>IF(C57=1,B57,"")</f>
        <v/>
      </c>
      <c r="E57" s="50">
        <f>I56</f>
        <v>0</v>
      </c>
      <c r="F57" s="50">
        <f>IF(C57=1,E57*LoanRate,0)</f>
        <v>0</v>
      </c>
      <c r="G57" s="50">
        <f>IF(C57=1,$C$19,0)</f>
        <v>0</v>
      </c>
      <c r="H57" s="50">
        <f>G57-F57</f>
        <v>0</v>
      </c>
      <c r="I57" s="50">
        <f>E57-H57</f>
        <v>0</v>
      </c>
      <c r="J57" s="96" t="str">
        <f>IF(AND(C57=1,G57&gt;0),B57/G57,"")</f>
        <v/>
      </c>
      <c r="K57" s="50">
        <f>B57-G57</f>
        <v>0</v>
      </c>
    </row>
    <row r="58" spans="1:11" x14ac:dyDescent="0.25">
      <c r="A58" s="73">
        <v>27</v>
      </c>
      <c r="B58" s="50">
        <v>0</v>
      </c>
      <c r="C58" s="73">
        <f>IF(A58&lt;=LoanTenor,1,0)</f>
        <v>0</v>
      </c>
      <c r="D58" s="95" t="str">
        <f>IF(C58=1,B58,"")</f>
        <v/>
      </c>
      <c r="E58" s="50">
        <f>I57</f>
        <v>0</v>
      </c>
      <c r="F58" s="50">
        <f>IF(C58=1,E58*LoanRate,0)</f>
        <v>0</v>
      </c>
      <c r="G58" s="50">
        <f>IF(C58=1,$C$19,0)</f>
        <v>0</v>
      </c>
      <c r="H58" s="50">
        <f>G58-F58</f>
        <v>0</v>
      </c>
      <c r="I58" s="50">
        <f>E58-H58</f>
        <v>0</v>
      </c>
      <c r="J58" s="96" t="str">
        <f>IF(AND(C58=1,G58&gt;0),B58/G58,"")</f>
        <v/>
      </c>
      <c r="K58" s="50">
        <f>B58-G58</f>
        <v>0</v>
      </c>
    </row>
    <row r="59" spans="1:11" x14ac:dyDescent="0.25">
      <c r="A59" s="73">
        <v>28</v>
      </c>
      <c r="B59" s="50">
        <v>0</v>
      </c>
      <c r="C59" s="73">
        <f>IF(A59&lt;=LoanTenor,1,0)</f>
        <v>0</v>
      </c>
      <c r="D59" s="95" t="str">
        <f>IF(C59=1,B59,"")</f>
        <v/>
      </c>
      <c r="E59" s="50">
        <f>I58</f>
        <v>0</v>
      </c>
      <c r="F59" s="50">
        <f>IF(C59=1,E59*LoanRate,0)</f>
        <v>0</v>
      </c>
      <c r="G59" s="50">
        <f>IF(C59=1,$C$19,0)</f>
        <v>0</v>
      </c>
      <c r="H59" s="50">
        <f>G59-F59</f>
        <v>0</v>
      </c>
      <c r="I59" s="50">
        <f>E59-H59</f>
        <v>0</v>
      </c>
      <c r="J59" s="96" t="str">
        <f>IF(AND(C59=1,G59&gt;0),B59/G59,"")</f>
        <v/>
      </c>
      <c r="K59" s="50">
        <f>B59-G59</f>
        <v>0</v>
      </c>
    </row>
    <row r="60" spans="1:11" x14ac:dyDescent="0.25">
      <c r="A60" s="73">
        <v>29</v>
      </c>
      <c r="B60" s="50">
        <v>0</v>
      </c>
      <c r="C60" s="73">
        <f>IF(A60&lt;=LoanTenor,1,0)</f>
        <v>0</v>
      </c>
      <c r="D60" s="95" t="str">
        <f>IF(C60=1,B60,"")</f>
        <v/>
      </c>
      <c r="E60" s="50">
        <f>I59</f>
        <v>0</v>
      </c>
      <c r="F60" s="50">
        <f>IF(C60=1,E60*LoanRate,0)</f>
        <v>0</v>
      </c>
      <c r="G60" s="50">
        <f>IF(C60=1,$C$19,0)</f>
        <v>0</v>
      </c>
      <c r="H60" s="50">
        <f>G60-F60</f>
        <v>0</v>
      </c>
      <c r="I60" s="50">
        <f>E60-H60</f>
        <v>0</v>
      </c>
      <c r="J60" s="96" t="str">
        <f>IF(AND(C60=1,G60&gt;0),B60/G60,"")</f>
        <v/>
      </c>
      <c r="K60" s="50">
        <f>B60-G60</f>
        <v>0</v>
      </c>
    </row>
    <row r="61" spans="1:11" x14ac:dyDescent="0.25">
      <c r="A61" s="73">
        <v>30</v>
      </c>
      <c r="B61" s="50">
        <v>0</v>
      </c>
      <c r="C61" s="73">
        <f>IF(A61&lt;=LoanTenor,1,0)</f>
        <v>0</v>
      </c>
      <c r="D61" s="95" t="str">
        <f>IF(C61=1,B61,"")</f>
        <v/>
      </c>
      <c r="E61" s="50">
        <f>I60</f>
        <v>0</v>
      </c>
      <c r="F61" s="50">
        <f>IF(C61=1,E61*LoanRate,0)</f>
        <v>0</v>
      </c>
      <c r="G61" s="50">
        <f>IF(C61=1,$C$19,0)</f>
        <v>0</v>
      </c>
      <c r="H61" s="50">
        <f>G61-F61</f>
        <v>0</v>
      </c>
      <c r="I61" s="50">
        <f>E61-H61</f>
        <v>0</v>
      </c>
      <c r="J61" s="96" t="str">
        <f>IF(AND(C61=1,G61&gt;0),B61/G61,"")</f>
        <v/>
      </c>
      <c r="K61" s="50">
        <f>B61-G61</f>
        <v>0</v>
      </c>
    </row>
  </sheetData>
  <pageMargins left="0.45" right="0.45" top="0.7" bottom="0.6" header="0.3" footer="0.3"/>
  <pageSetup paperSize="9" orientation="landscape" horizontalDpi="4294967295" verticalDpi="4294967295" scale="100" fitToWidth="1" fitToHeight="0"/>
  <headerFooter>
    <oddHeader>&amp;L&amp;"Arial"&amp;8Advanced Energy Audit · Demo Foods (Pty) Ltd (fictional)&amp;R&amp;"Arial"&amp;8&amp;A</oddHeader>
    <oddFooter>&amp;L&amp;"Arial"&amp;8Thabiso Kali, Certified Energy Manager · Fictional demonstration&amp;R&amp;"Arial"&amp;8Page &amp;P of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59616C"/>
    <pageSetUpPr fitToPage="1"/>
  </sheetPr>
  <dimension ref="A1:D125"/>
  <sheetViews>
    <sheetView workbookViewId="0" showGridLines="0">
      <pane xSplit="1" ySplit="3" topLeftCell="B4" activePane="bottomRight" state="frozen"/>
      <selection pane="bottomRight"/>
    </sheetView>
  </sheetViews>
  <sheetFormatPr defaultRowHeight="15" outlineLevelRow="0" outlineLevelCol="0" x14ac:dyDescent="55"/>
  <cols>
    <col min="1" max="1" width="26" customWidth="1"/>
    <col min="2" max="2" width="62" customWidth="1"/>
    <col min="3" max="3" width="74" customWidth="1"/>
    <col min="4" max="4" width="30" customWidth="1"/>
  </cols>
  <sheetData>
    <row r="1" ht="26" customHeight="1" spans="1:1" x14ac:dyDescent="0.25">
      <c r="A1" s="31" t="s">
        <v>711</v>
      </c>
    </row>
    <row r="2" spans="1:1" x14ac:dyDescent="0.25">
      <c r="A2" s="32" t="s">
        <v>712</v>
      </c>
    </row>
    <row r="3" spans="1:1" x14ac:dyDescent="0.25">
      <c r="A3" s="33" t="s">
        <v>91</v>
      </c>
    </row>
    <row r="5" ht="18" customHeight="1" spans="1:4" x14ac:dyDescent="0.25">
      <c r="A5" s="5" t="s">
        <v>713</v>
      </c>
      <c r="B5" s="5"/>
      <c r="C5" s="5"/>
      <c r="D5" s="5"/>
    </row>
    <row r="6" ht="20" customHeight="1" spans="1:4" x14ac:dyDescent="0.25">
      <c r="A6" s="15" t="s">
        <v>714</v>
      </c>
      <c r="B6" s="16" t="s">
        <v>715</v>
      </c>
      <c r="C6" s="16" t="s">
        <v>716</v>
      </c>
      <c r="D6" s="16" t="s">
        <v>717</v>
      </c>
    </row>
    <row r="7" ht="61.5" customHeight="1" spans="1:4" x14ac:dyDescent="0.25">
      <c r="A7" s="97" t="s">
        <v>718</v>
      </c>
      <c r="B7" s="98" t="s">
        <v>719</v>
      </c>
      <c r="C7" s="98" t="s">
        <v>720</v>
      </c>
      <c r="D7" s="28" t="str">
        <f>HYPERLINK("#Bills!A1","Bills")</f>
        <v>Bills</v>
      </c>
    </row>
    <row r="8" ht="61.5" customHeight="1" spans="1:4" x14ac:dyDescent="0.25">
      <c r="A8" s="97" t="s">
        <v>721</v>
      </c>
      <c r="B8" s="98" t="s">
        <v>722</v>
      </c>
      <c r="C8" s="98" t="s">
        <v>723</v>
      </c>
      <c r="D8" s="28" t="str">
        <f>HYPERLINK("#Cover!A1","Cover")</f>
        <v>Cover</v>
      </c>
    </row>
    <row r="9" ht="73" customHeight="1" spans="1:4" x14ac:dyDescent="0.25">
      <c r="A9" s="97" t="s">
        <v>724</v>
      </c>
      <c r="B9" s="98" t="s">
        <v>725</v>
      </c>
      <c r="C9" s="98" t="s">
        <v>726</v>
      </c>
      <c r="D9" s="28" t="str">
        <f>HYPERLINK("#Inventory!A1","Inventory")</f>
        <v>Inventory</v>
      </c>
    </row>
    <row r="10" ht="38.5" customHeight="1" spans="1:4" x14ac:dyDescent="0.25">
      <c r="A10" s="97" t="s">
        <v>727</v>
      </c>
      <c r="B10" s="98" t="s">
        <v>728</v>
      </c>
      <c r="C10" s="98" t="s">
        <v>729</v>
      </c>
      <c r="D10" s="28" t="str">
        <f>HYPERLINK("#Inventory!A1","Inventory")</f>
        <v>Inventory</v>
      </c>
    </row>
    <row r="11" ht="96" customHeight="1" spans="1:4" x14ac:dyDescent="0.25">
      <c r="A11" s="97" t="s">
        <v>730</v>
      </c>
      <c r="B11" s="98" t="s">
        <v>731</v>
      </c>
      <c r="C11" s="98" t="s">
        <v>732</v>
      </c>
      <c r="D11" s="28" t="str">
        <f>HYPERLINK("#Balance!A1","Balance")</f>
        <v>Balance</v>
      </c>
    </row>
    <row r="12" ht="38.5" customHeight="1" spans="1:4" x14ac:dyDescent="0.25">
      <c r="A12" s="97" t="s">
        <v>733</v>
      </c>
      <c r="B12" s="98" t="s">
        <v>734</v>
      </c>
      <c r="C12" s="98" t="s">
        <v>735</v>
      </c>
      <c r="D12" s="28" t="str">
        <f>HYPERLINK("#Measures!A1","Measures")</f>
        <v>Measures</v>
      </c>
    </row>
    <row r="13" ht="84.5" customHeight="1" spans="1:4" x14ac:dyDescent="0.25">
      <c r="A13" s="99" t="s">
        <v>736</v>
      </c>
      <c r="B13" s="98" t="s">
        <v>737</v>
      </c>
      <c r="C13" s="98" t="s">
        <v>738</v>
      </c>
      <c r="D13" s="28" t="str">
        <f>HYPERLINK("#Measures!A1","Measures")</f>
        <v>Measures</v>
      </c>
    </row>
    <row r="14" ht="73" customHeight="1" spans="1:4" x14ac:dyDescent="0.25">
      <c r="A14" s="99" t="s">
        <v>739</v>
      </c>
      <c r="B14" s="98" t="s">
        <v>740</v>
      </c>
      <c r="C14" s="98" t="s">
        <v>741</v>
      </c>
      <c r="D14" s="28" t="str">
        <f>HYPERLINK("#Measures!A1","Measures")</f>
        <v>Measures</v>
      </c>
    </row>
    <row r="15" ht="61.5" customHeight="1" spans="1:4" x14ac:dyDescent="0.25">
      <c r="A15" s="99" t="s">
        <v>742</v>
      </c>
      <c r="B15" s="98" t="s">
        <v>743</v>
      </c>
      <c r="C15" s="98" t="s">
        <v>744</v>
      </c>
      <c r="D15" s="28" t="str">
        <f>HYPERLINK("#Measures!A1","Measures")</f>
        <v>Measures</v>
      </c>
    </row>
    <row r="16" ht="50" customHeight="1" spans="1:4" x14ac:dyDescent="0.25">
      <c r="A16" s="99" t="s">
        <v>745</v>
      </c>
      <c r="B16" s="98" t="s">
        <v>746</v>
      </c>
      <c r="C16" s="98" t="s">
        <v>747</v>
      </c>
      <c r="D16" s="28" t="str">
        <f>HYPERLINK("#Measures!A1","Measures")</f>
        <v>Measures</v>
      </c>
    </row>
    <row r="17" ht="38.5" customHeight="1" spans="1:4" x14ac:dyDescent="0.25">
      <c r="A17" s="99" t="s">
        <v>748</v>
      </c>
      <c r="B17" s="98" t="s">
        <v>749</v>
      </c>
      <c r="C17" s="98" t="s">
        <v>750</v>
      </c>
      <c r="D17" s="28" t="str">
        <f>HYPERLINK("#Measures!A1","Measures")</f>
        <v>Measures</v>
      </c>
    </row>
    <row r="18" ht="38.5" customHeight="1" spans="1:4" x14ac:dyDescent="0.25">
      <c r="A18" s="99" t="s">
        <v>751</v>
      </c>
      <c r="B18" s="98" t="s">
        <v>752</v>
      </c>
      <c r="C18" s="98" t="s">
        <v>753</v>
      </c>
      <c r="D18" s="28" t="str">
        <f>HYPERLINK("#Measures!A1","Measures")</f>
        <v>Measures</v>
      </c>
    </row>
    <row r="19" ht="27" customHeight="1" spans="1:4" x14ac:dyDescent="0.25">
      <c r="A19" s="99" t="s">
        <v>754</v>
      </c>
      <c r="B19" s="98" t="s">
        <v>755</v>
      </c>
      <c r="C19" s="98" t="s">
        <v>756</v>
      </c>
      <c r="D19" s="28" t="str">
        <f>HYPERLINK("#Measures!A1","Measures")</f>
        <v>Measures</v>
      </c>
    </row>
    <row r="20" ht="61.5" customHeight="1" spans="1:4" x14ac:dyDescent="0.25">
      <c r="A20" s="99" t="s">
        <v>757</v>
      </c>
      <c r="B20" s="98" t="s">
        <v>758</v>
      </c>
      <c r="C20" s="98" t="s">
        <v>759</v>
      </c>
      <c r="D20" s="28" t="str">
        <f>HYPERLINK("#Measures!A1","Measures")</f>
        <v>Measures</v>
      </c>
    </row>
    <row r="21" ht="50" customHeight="1" spans="1:4" x14ac:dyDescent="0.25">
      <c r="A21" s="99" t="s">
        <v>760</v>
      </c>
      <c r="B21" s="98" t="s">
        <v>761</v>
      </c>
      <c r="C21" s="98" t="s">
        <v>762</v>
      </c>
      <c r="D21" s="28" t="str">
        <f>HYPERLINK("#Measures!A1","Measures")</f>
        <v>Measures</v>
      </c>
    </row>
    <row r="22" ht="38.5" customHeight="1" spans="1:4" x14ac:dyDescent="0.25">
      <c r="A22" s="99" t="s">
        <v>763</v>
      </c>
      <c r="B22" s="98" t="s">
        <v>764</v>
      </c>
      <c r="C22" s="98" t="s">
        <v>765</v>
      </c>
      <c r="D22" s="28" t="str">
        <f>HYPERLINK("#Measures!A1","Measures")</f>
        <v>Measures</v>
      </c>
    </row>
    <row r="23" ht="38.5" customHeight="1" spans="1:4" x14ac:dyDescent="0.25">
      <c r="A23" s="99" t="s">
        <v>766</v>
      </c>
      <c r="B23" s="98" t="s">
        <v>767</v>
      </c>
      <c r="C23" s="98" t="s">
        <v>768</v>
      </c>
      <c r="D23" s="28" t="str">
        <f>HYPERLINK("#Measures!A1","Measures")</f>
        <v>Measures</v>
      </c>
    </row>
    <row r="24" ht="50" customHeight="1" spans="1:4" x14ac:dyDescent="0.25">
      <c r="A24" s="99" t="s">
        <v>769</v>
      </c>
      <c r="B24" s="98" t="s">
        <v>770</v>
      </c>
      <c r="C24" s="98" t="s">
        <v>771</v>
      </c>
      <c r="D24" s="28" t="str">
        <f>HYPERLINK("#Measures!A1","Measures")</f>
        <v>Measures</v>
      </c>
    </row>
    <row r="25" ht="50" customHeight="1" spans="1:4" x14ac:dyDescent="0.25">
      <c r="A25" s="99" t="s">
        <v>772</v>
      </c>
      <c r="B25" s="98" t="s">
        <v>773</v>
      </c>
      <c r="C25" s="98" t="s">
        <v>774</v>
      </c>
      <c r="D25" s="28" t="str">
        <f>HYPERLINK("#Measures!A1","Measures")</f>
        <v>Measures</v>
      </c>
    </row>
    <row r="26" ht="50" customHeight="1" spans="1:4" x14ac:dyDescent="0.25">
      <c r="A26" s="99" t="s">
        <v>775</v>
      </c>
      <c r="B26" s="98" t="s">
        <v>776</v>
      </c>
      <c r="C26" s="98" t="s">
        <v>777</v>
      </c>
      <c r="D26" s="28" t="str">
        <f>HYPERLINK("#Measures!A1","Measures")</f>
        <v>Measures</v>
      </c>
    </row>
    <row r="27" ht="38.5" customHeight="1" spans="1:4" x14ac:dyDescent="0.25">
      <c r="A27" s="99" t="s">
        <v>778</v>
      </c>
      <c r="B27" s="98" t="s">
        <v>779</v>
      </c>
      <c r="C27" s="98" t="s">
        <v>780</v>
      </c>
      <c r="D27" s="28" t="str">
        <f>HYPERLINK("#Measures!A1","Measures")</f>
        <v>Measures</v>
      </c>
    </row>
    <row r="28" ht="73" customHeight="1" spans="1:4" x14ac:dyDescent="0.25">
      <c r="A28" s="99" t="s">
        <v>781</v>
      </c>
      <c r="B28" s="98" t="s">
        <v>782</v>
      </c>
      <c r="C28" s="98" t="s">
        <v>783</v>
      </c>
      <c r="D28" s="28" t="str">
        <f>HYPERLINK("#Balance!A1","Balance")</f>
        <v>Balance</v>
      </c>
    </row>
    <row r="29" ht="73" customHeight="1" spans="1:4" x14ac:dyDescent="0.25">
      <c r="A29" s="99" t="s">
        <v>784</v>
      </c>
      <c r="B29" s="98" t="s">
        <v>785</v>
      </c>
      <c r="C29" s="98" t="s">
        <v>786</v>
      </c>
      <c r="D29" s="28" t="str">
        <f>HYPERLINK("#Measures!A1","Measures")</f>
        <v>Measures</v>
      </c>
    </row>
    <row r="30" ht="50" customHeight="1" spans="1:4" x14ac:dyDescent="0.25">
      <c r="A30" s="99" t="s">
        <v>787</v>
      </c>
      <c r="B30" s="98" t="s">
        <v>788</v>
      </c>
      <c r="C30" s="98" t="s">
        <v>789</v>
      </c>
      <c r="D30" s="28" t="str">
        <f>HYPERLINK("#Measures!A1","Measures")</f>
        <v>Measures</v>
      </c>
    </row>
    <row r="31" ht="73" customHeight="1" spans="1:4" x14ac:dyDescent="0.25">
      <c r="A31" s="99" t="s">
        <v>790</v>
      </c>
      <c r="B31" s="98" t="s">
        <v>791</v>
      </c>
      <c r="C31" s="98" t="s">
        <v>792</v>
      </c>
      <c r="D31" s="28" t="str">
        <f>HYPERLINK("#Measures!A1","Measures")</f>
        <v>Measures</v>
      </c>
    </row>
    <row r="32" ht="50" customHeight="1" spans="1:4" x14ac:dyDescent="0.25">
      <c r="A32" s="99" t="s">
        <v>793</v>
      </c>
      <c r="B32" s="98" t="s">
        <v>794</v>
      </c>
      <c r="C32" s="98" t="s">
        <v>795</v>
      </c>
      <c r="D32" s="28" t="str">
        <f>HYPERLINK("#Measures!A1","Measures")</f>
        <v>Measures</v>
      </c>
    </row>
    <row r="33" ht="61.5" customHeight="1" spans="1:4" x14ac:dyDescent="0.25">
      <c r="A33" s="99" t="s">
        <v>796</v>
      </c>
      <c r="B33" s="98" t="s">
        <v>797</v>
      </c>
      <c r="C33" s="98" t="s">
        <v>798</v>
      </c>
      <c r="D33" s="28" t="str">
        <f>HYPERLINK("#Measures!A1","Measures")</f>
        <v>Measures</v>
      </c>
    </row>
    <row r="34" ht="50" customHeight="1" spans="1:4" x14ac:dyDescent="0.25">
      <c r="A34" s="99" t="s">
        <v>799</v>
      </c>
      <c r="B34" s="98" t="s">
        <v>800</v>
      </c>
      <c r="C34" s="98" t="s">
        <v>801</v>
      </c>
      <c r="D34" s="28" t="str">
        <f>HYPERLINK("#Measures!A1","Measures")</f>
        <v>Measures</v>
      </c>
    </row>
    <row r="35" ht="50" customHeight="1" spans="1:4" x14ac:dyDescent="0.25">
      <c r="A35" s="99" t="s">
        <v>802</v>
      </c>
      <c r="B35" s="98" t="s">
        <v>803</v>
      </c>
      <c r="C35" s="98" t="s">
        <v>804</v>
      </c>
      <c r="D35" s="28" t="str">
        <f>HYPERLINK("#Measures!A1","Measures")</f>
        <v>Measures</v>
      </c>
    </row>
    <row r="36" ht="119" customHeight="1" spans="1:4" x14ac:dyDescent="0.25">
      <c r="A36" s="99" t="s">
        <v>805</v>
      </c>
      <c r="B36" s="98" t="s">
        <v>806</v>
      </c>
      <c r="C36" s="98" t="s">
        <v>807</v>
      </c>
      <c r="D36" s="28" t="str">
        <f>HYPERLINK("#Measures!A1","Measures")</f>
        <v>Measures</v>
      </c>
    </row>
    <row r="37" ht="61.5" customHeight="1" spans="1:4" x14ac:dyDescent="0.25">
      <c r="A37" s="99" t="s">
        <v>808</v>
      </c>
      <c r="B37" s="98" t="s">
        <v>809</v>
      </c>
      <c r="C37" s="98" t="s">
        <v>810</v>
      </c>
      <c r="D37" s="28" t="str">
        <f>HYPERLINK("#Measures!A1","Measures")</f>
        <v>Measures</v>
      </c>
    </row>
    <row r="38" ht="50" customHeight="1" spans="1:4" x14ac:dyDescent="0.25">
      <c r="A38" s="99" t="s">
        <v>811</v>
      </c>
      <c r="B38" s="98" t="s">
        <v>812</v>
      </c>
      <c r="C38" s="98" t="s">
        <v>813</v>
      </c>
      <c r="D38" s="28" t="str">
        <f>HYPERLINK("#Measures!A1","Measures")</f>
        <v>Measures</v>
      </c>
    </row>
    <row r="39" ht="61.5" customHeight="1" spans="1:4" x14ac:dyDescent="0.25">
      <c r="A39" s="97" t="s">
        <v>814</v>
      </c>
      <c r="B39" s="98" t="s">
        <v>815</v>
      </c>
      <c r="C39" s="98" t="s">
        <v>816</v>
      </c>
      <c r="D39" s="28" t="str">
        <f>HYPERLINK("#Measures!A1","Measures")</f>
        <v>Measures</v>
      </c>
    </row>
    <row r="40" ht="61.5" customHeight="1" spans="1:4" x14ac:dyDescent="0.25">
      <c r="A40" s="97" t="s">
        <v>817</v>
      </c>
      <c r="B40" s="98" t="s">
        <v>818</v>
      </c>
      <c r="C40" s="98" t="s">
        <v>819</v>
      </c>
      <c r="D40" s="98" t="s">
        <v>820</v>
      </c>
    </row>
    <row r="41" ht="61.5" customHeight="1" spans="1:4" x14ac:dyDescent="0.25">
      <c r="A41" s="97" t="s">
        <v>821</v>
      </c>
      <c r="B41" s="98" t="s">
        <v>822</v>
      </c>
      <c r="C41" s="98" t="s">
        <v>823</v>
      </c>
      <c r="D41" s="28" t="str">
        <f>HYPERLINK("#Portfolio!A1","Portfolio")</f>
        <v>Portfolio</v>
      </c>
    </row>
    <row r="42" ht="73" customHeight="1" spans="1:4" x14ac:dyDescent="0.25">
      <c r="A42" s="99" t="s">
        <v>824</v>
      </c>
      <c r="B42" s="98" t="s">
        <v>825</v>
      </c>
      <c r="C42" s="98" t="s">
        <v>826</v>
      </c>
      <c r="D42" s="28" t="str">
        <f>HYPERLINK("#Loan!A1","Loan")</f>
        <v>Loan</v>
      </c>
    </row>
    <row r="43" ht="50" customHeight="1" spans="1:4" x14ac:dyDescent="0.25">
      <c r="A43" s="97" t="s">
        <v>827</v>
      </c>
      <c r="B43" s="98" t="s">
        <v>828</v>
      </c>
      <c r="C43" s="98" t="s">
        <v>829</v>
      </c>
      <c r="D43" s="98" t="s">
        <v>172</v>
      </c>
    </row>
    <row r="44" ht="50" customHeight="1" spans="1:4" x14ac:dyDescent="0.25">
      <c r="A44" s="97" t="s">
        <v>830</v>
      </c>
      <c r="B44" s="98" t="s">
        <v>831</v>
      </c>
      <c r="C44" s="98" t="s">
        <v>832</v>
      </c>
      <c r="D44" s="98" t="s">
        <v>172</v>
      </c>
    </row>
    <row r="45" ht="38.5" customHeight="1" spans="1:4" x14ac:dyDescent="0.25">
      <c r="A45" s="97" t="s">
        <v>833</v>
      </c>
      <c r="B45" s="98" t="s">
        <v>834</v>
      </c>
      <c r="C45" s="98" t="s">
        <v>835</v>
      </c>
      <c r="D45" s="28" t="str">
        <f>HYPERLINK("#Cover!A1","Cover")</f>
        <v>Cover</v>
      </c>
    </row>
    <row r="46" ht="107.5" customHeight="1" spans="1:4" x14ac:dyDescent="0.25">
      <c r="A46" s="97" t="s">
        <v>836</v>
      </c>
      <c r="B46" s="98" t="s">
        <v>172</v>
      </c>
      <c r="C46" s="98" t="s">
        <v>837</v>
      </c>
      <c r="D46" s="98" t="s">
        <v>172</v>
      </c>
    </row>
    <row r="47" ht="50" customHeight="1" spans="1:4" x14ac:dyDescent="0.25">
      <c r="A47" s="97" t="s">
        <v>838</v>
      </c>
      <c r="B47" s="98" t="s">
        <v>839</v>
      </c>
      <c r="C47" s="98" t="s">
        <v>840</v>
      </c>
      <c r="D47" s="28" t="str">
        <f>HYPERLINK("#Measures!A1","Measures")</f>
        <v>Measures</v>
      </c>
    </row>
    <row r="48" ht="61.5" customHeight="1" spans="1:4" x14ac:dyDescent="0.25">
      <c r="A48" s="97" t="s">
        <v>841</v>
      </c>
      <c r="B48" s="98" t="s">
        <v>842</v>
      </c>
      <c r="C48" s="98" t="s">
        <v>843</v>
      </c>
      <c r="D48" s="98" t="s">
        <v>172</v>
      </c>
    </row>
    <row r="49" ht="84.5" customHeight="1" spans="1:4" x14ac:dyDescent="0.25">
      <c r="A49" s="97" t="s">
        <v>844</v>
      </c>
      <c r="B49" s="98" t="s">
        <v>845</v>
      </c>
      <c r="C49" s="98" t="s">
        <v>846</v>
      </c>
      <c r="D49" s="98" t="s">
        <v>172</v>
      </c>
    </row>
    <row r="51" ht="18" customHeight="1" spans="1:4" x14ac:dyDescent="0.25">
      <c r="A51" s="5" t="s">
        <v>847</v>
      </c>
      <c r="B51" s="5"/>
      <c r="C51" s="5"/>
      <c r="D51" s="5"/>
    </row>
    <row r="52" ht="20" customHeight="1" spans="1:4" x14ac:dyDescent="0.25">
      <c r="A52" s="15" t="s">
        <v>848</v>
      </c>
      <c r="B52" s="16" t="s">
        <v>420</v>
      </c>
      <c r="C52" s="16" t="s">
        <v>849</v>
      </c>
      <c r="D52" s="16" t="s">
        <v>343</v>
      </c>
    </row>
    <row r="53" ht="27" customHeight="1" spans="1:4" x14ac:dyDescent="0.25">
      <c r="A53" s="98" t="s">
        <v>850</v>
      </c>
      <c r="B53" s="97" t="s">
        <v>851</v>
      </c>
      <c r="C53" s="100" t="s">
        <v>852</v>
      </c>
      <c r="D53" s="98" t="s">
        <v>853</v>
      </c>
    </row>
    <row r="54" ht="15.5" customHeight="1" spans="1:4" x14ac:dyDescent="0.25">
      <c r="A54" s="98" t="s">
        <v>854</v>
      </c>
      <c r="B54" s="97" t="s">
        <v>855</v>
      </c>
      <c r="C54" s="100" t="s">
        <v>856</v>
      </c>
      <c r="D54" s="98" t="s">
        <v>857</v>
      </c>
    </row>
    <row r="55" ht="27" customHeight="1" spans="1:4" x14ac:dyDescent="0.25">
      <c r="A55" s="98" t="s">
        <v>858</v>
      </c>
      <c r="B55" s="97" t="s">
        <v>859</v>
      </c>
      <c r="C55" s="100" t="s">
        <v>860</v>
      </c>
      <c r="D55" s="98" t="s">
        <v>853</v>
      </c>
    </row>
    <row r="56" ht="27" customHeight="1" spans="1:4" x14ac:dyDescent="0.25">
      <c r="A56" s="98" t="s">
        <v>861</v>
      </c>
      <c r="B56" s="97" t="s">
        <v>862</v>
      </c>
      <c r="C56" s="100" t="s">
        <v>856</v>
      </c>
      <c r="D56" s="98" t="s">
        <v>863</v>
      </c>
    </row>
    <row r="57" ht="15.5" customHeight="1" spans="1:4" x14ac:dyDescent="0.25">
      <c r="A57" s="98" t="s">
        <v>864</v>
      </c>
      <c r="B57" s="97" t="s">
        <v>865</v>
      </c>
      <c r="C57" s="100" t="s">
        <v>866</v>
      </c>
      <c r="D57" s="98" t="s">
        <v>867</v>
      </c>
    </row>
    <row r="58" ht="27" customHeight="1" spans="1:4" x14ac:dyDescent="0.25">
      <c r="A58" s="98" t="s">
        <v>868</v>
      </c>
      <c r="B58" s="97" t="s">
        <v>869</v>
      </c>
      <c r="C58" s="100" t="s">
        <v>870</v>
      </c>
      <c r="D58" s="98" t="s">
        <v>871</v>
      </c>
    </row>
    <row r="59" ht="27" customHeight="1" spans="1:4" x14ac:dyDescent="0.25">
      <c r="A59" s="98" t="s">
        <v>872</v>
      </c>
      <c r="B59" s="97" t="s">
        <v>873</v>
      </c>
      <c r="C59" s="98" t="s">
        <v>874</v>
      </c>
      <c r="D59" s="98" t="s">
        <v>871</v>
      </c>
    </row>
    <row r="60" ht="15.5" customHeight="1" spans="1:4" x14ac:dyDescent="0.25">
      <c r="A60" s="98" t="s">
        <v>875</v>
      </c>
      <c r="B60" s="97" t="s">
        <v>876</v>
      </c>
      <c r="C60" s="100" t="s">
        <v>877</v>
      </c>
      <c r="D60" s="98" t="s">
        <v>878</v>
      </c>
    </row>
    <row r="61" ht="15.5" customHeight="1" spans="1:4" x14ac:dyDescent="0.25">
      <c r="A61" s="98" t="s">
        <v>879</v>
      </c>
      <c r="B61" s="97" t="s">
        <v>880</v>
      </c>
      <c r="C61" s="100" t="s">
        <v>881</v>
      </c>
      <c r="D61" s="98" t="s">
        <v>882</v>
      </c>
    </row>
    <row r="62" ht="15.5" customHeight="1" spans="1:4" x14ac:dyDescent="0.25">
      <c r="A62" s="98" t="s">
        <v>883</v>
      </c>
      <c r="B62" s="97" t="s">
        <v>884</v>
      </c>
      <c r="C62" s="100" t="s">
        <v>885</v>
      </c>
      <c r="D62" s="98" t="s">
        <v>172</v>
      </c>
    </row>
    <row r="63" ht="15.5" customHeight="1" spans="1:4" x14ac:dyDescent="0.25">
      <c r="A63" s="98" t="s">
        <v>886</v>
      </c>
      <c r="B63" s="97" t="s">
        <v>887</v>
      </c>
      <c r="C63" s="100" t="s">
        <v>888</v>
      </c>
      <c r="D63" s="98" t="s">
        <v>172</v>
      </c>
    </row>
    <row r="64" ht="27" customHeight="1" spans="1:4" x14ac:dyDescent="0.25">
      <c r="A64" s="98" t="s">
        <v>889</v>
      </c>
      <c r="B64" s="97" t="s">
        <v>890</v>
      </c>
      <c r="C64" s="100" t="s">
        <v>891</v>
      </c>
      <c r="D64" s="98" t="s">
        <v>892</v>
      </c>
    </row>
    <row r="65" ht="15.5" customHeight="1" spans="1:4" x14ac:dyDescent="0.25">
      <c r="A65" s="98" t="s">
        <v>893</v>
      </c>
      <c r="B65" s="97" t="s">
        <v>894</v>
      </c>
      <c r="C65" s="98" t="s">
        <v>874</v>
      </c>
      <c r="D65" s="98" t="s">
        <v>172</v>
      </c>
    </row>
    <row r="66" ht="15.5" customHeight="1" spans="1:4" x14ac:dyDescent="0.25">
      <c r="A66" s="98" t="s">
        <v>895</v>
      </c>
      <c r="B66" s="97" t="s">
        <v>896</v>
      </c>
      <c r="C66" s="100" t="s">
        <v>897</v>
      </c>
      <c r="D66" s="98" t="s">
        <v>892</v>
      </c>
    </row>
    <row r="67" ht="15.5" customHeight="1" spans="1:4" x14ac:dyDescent="0.25">
      <c r="A67" s="98" t="s">
        <v>898</v>
      </c>
      <c r="B67" s="97" t="s">
        <v>899</v>
      </c>
      <c r="C67" s="100" t="s">
        <v>900</v>
      </c>
      <c r="D67" s="98" t="s">
        <v>901</v>
      </c>
    </row>
    <row r="68" ht="27" customHeight="1" spans="1:4" x14ac:dyDescent="0.25">
      <c r="A68" s="98" t="s">
        <v>902</v>
      </c>
      <c r="B68" s="97" t="s">
        <v>903</v>
      </c>
      <c r="C68" s="98" t="s">
        <v>874</v>
      </c>
      <c r="D68" s="98" t="s">
        <v>904</v>
      </c>
    </row>
    <row r="69" ht="27" customHeight="1" spans="1:4" x14ac:dyDescent="0.25">
      <c r="A69" s="98" t="s">
        <v>905</v>
      </c>
      <c r="B69" s="97" t="s">
        <v>906</v>
      </c>
      <c r="C69" s="98" t="s">
        <v>874</v>
      </c>
      <c r="D69" s="98" t="s">
        <v>907</v>
      </c>
    </row>
    <row r="70" ht="27" customHeight="1" spans="1:4" x14ac:dyDescent="0.25">
      <c r="A70" s="98" t="s">
        <v>908</v>
      </c>
      <c r="B70" s="97" t="s">
        <v>909</v>
      </c>
      <c r="C70" s="100" t="s">
        <v>910</v>
      </c>
      <c r="D70" s="98" t="s">
        <v>911</v>
      </c>
    </row>
    <row r="71" ht="27" customHeight="1" spans="1:4" x14ac:dyDescent="0.25">
      <c r="A71" s="98" t="s">
        <v>912</v>
      </c>
      <c r="B71" s="97" t="s">
        <v>913</v>
      </c>
      <c r="C71" s="100" t="s">
        <v>914</v>
      </c>
      <c r="D71" s="98" t="s">
        <v>915</v>
      </c>
    </row>
    <row r="72" ht="27" customHeight="1" spans="1:4" x14ac:dyDescent="0.25">
      <c r="A72" s="98" t="s">
        <v>916</v>
      </c>
      <c r="B72" s="97" t="s">
        <v>917</v>
      </c>
      <c r="C72" s="98" t="s">
        <v>874</v>
      </c>
      <c r="D72" s="98" t="s">
        <v>172</v>
      </c>
    </row>
    <row r="73" ht="15.5" customHeight="1" spans="1:4" x14ac:dyDescent="0.25">
      <c r="A73" s="98" t="s">
        <v>918</v>
      </c>
      <c r="B73" s="97" t="s">
        <v>919</v>
      </c>
      <c r="C73" s="100" t="s">
        <v>920</v>
      </c>
      <c r="D73" s="98" t="s">
        <v>172</v>
      </c>
    </row>
    <row r="74" ht="27" customHeight="1" spans="1:4" x14ac:dyDescent="0.25">
      <c r="A74" s="98" t="s">
        <v>921</v>
      </c>
      <c r="B74" s="97" t="s">
        <v>922</v>
      </c>
      <c r="C74" s="100" t="s">
        <v>923</v>
      </c>
      <c r="D74" s="98" t="s">
        <v>924</v>
      </c>
    </row>
    <row r="75" ht="27" customHeight="1" spans="1:4" x14ac:dyDescent="0.25">
      <c r="A75" s="98" t="s">
        <v>925</v>
      </c>
      <c r="B75" s="97" t="s">
        <v>926</v>
      </c>
      <c r="C75" s="100" t="s">
        <v>927</v>
      </c>
      <c r="D75" s="98" t="s">
        <v>928</v>
      </c>
    </row>
    <row r="76" ht="27" customHeight="1" spans="1:4" x14ac:dyDescent="0.25">
      <c r="A76" s="98" t="s">
        <v>929</v>
      </c>
      <c r="B76" s="97" t="s">
        <v>930</v>
      </c>
      <c r="C76" s="100" t="s">
        <v>931</v>
      </c>
      <c r="D76" s="98" t="s">
        <v>932</v>
      </c>
    </row>
    <row r="77" ht="27" customHeight="1" spans="1:4" x14ac:dyDescent="0.25">
      <c r="A77" s="98" t="s">
        <v>933</v>
      </c>
      <c r="B77" s="97" t="s">
        <v>934</v>
      </c>
      <c r="C77" s="100" t="s">
        <v>885</v>
      </c>
      <c r="D77" s="98" t="s">
        <v>935</v>
      </c>
    </row>
    <row r="78" ht="27" customHeight="1" spans="1:4" x14ac:dyDescent="0.25">
      <c r="A78" s="98" t="s">
        <v>936</v>
      </c>
      <c r="B78" s="97" t="s">
        <v>937</v>
      </c>
      <c r="C78" s="100" t="s">
        <v>938</v>
      </c>
      <c r="D78" s="98" t="s">
        <v>939</v>
      </c>
    </row>
    <row r="79" ht="27" customHeight="1" spans="1:4" x14ac:dyDescent="0.25">
      <c r="A79" s="98" t="s">
        <v>940</v>
      </c>
      <c r="B79" s="97" t="s">
        <v>941</v>
      </c>
      <c r="C79" s="98" t="s">
        <v>874</v>
      </c>
      <c r="D79" s="98" t="s">
        <v>942</v>
      </c>
    </row>
    <row r="80" ht="27" customHeight="1" spans="1:4" x14ac:dyDescent="0.25">
      <c r="A80" s="98" t="s">
        <v>943</v>
      </c>
      <c r="B80" s="97" t="s">
        <v>944</v>
      </c>
      <c r="C80" s="100" t="s">
        <v>877</v>
      </c>
      <c r="D80" s="98" t="s">
        <v>172</v>
      </c>
    </row>
    <row r="81" ht="27" customHeight="1" spans="1:4" x14ac:dyDescent="0.25">
      <c r="A81" s="98" t="s">
        <v>945</v>
      </c>
      <c r="B81" s="97" t="s">
        <v>946</v>
      </c>
      <c r="C81" s="100" t="s">
        <v>891</v>
      </c>
      <c r="D81" s="98" t="s">
        <v>915</v>
      </c>
    </row>
    <row r="82" ht="27" customHeight="1" spans="1:4" x14ac:dyDescent="0.25">
      <c r="A82" s="98" t="s">
        <v>947</v>
      </c>
      <c r="B82" s="97" t="s">
        <v>948</v>
      </c>
      <c r="C82" s="100" t="s">
        <v>949</v>
      </c>
      <c r="D82" s="98" t="s">
        <v>904</v>
      </c>
    </row>
    <row r="83" ht="27" customHeight="1" spans="1:4" x14ac:dyDescent="0.25">
      <c r="A83" s="98" t="s">
        <v>950</v>
      </c>
      <c r="B83" s="97" t="s">
        <v>951</v>
      </c>
      <c r="C83" s="98" t="s">
        <v>874</v>
      </c>
      <c r="D83" s="98" t="s">
        <v>952</v>
      </c>
    </row>
    <row r="84" ht="15.5" customHeight="1" spans="1:4" x14ac:dyDescent="0.25">
      <c r="A84" s="98" t="s">
        <v>953</v>
      </c>
      <c r="B84" s="97" t="s">
        <v>954</v>
      </c>
      <c r="C84" s="100" t="s">
        <v>955</v>
      </c>
      <c r="D84" s="98" t="s">
        <v>956</v>
      </c>
    </row>
    <row r="85" ht="27" customHeight="1" spans="1:4" x14ac:dyDescent="0.25">
      <c r="A85" s="98" t="s">
        <v>957</v>
      </c>
      <c r="B85" s="97" t="s">
        <v>958</v>
      </c>
      <c r="C85" s="98" t="s">
        <v>874</v>
      </c>
      <c r="D85" s="98" t="s">
        <v>901</v>
      </c>
    </row>
    <row r="86" ht="27" customHeight="1" spans="1:4" x14ac:dyDescent="0.25">
      <c r="A86" s="98" t="s">
        <v>959</v>
      </c>
      <c r="B86" s="97" t="s">
        <v>960</v>
      </c>
      <c r="C86" s="100" t="s">
        <v>897</v>
      </c>
      <c r="D86" s="98" t="s">
        <v>901</v>
      </c>
    </row>
    <row r="87" ht="15.5" customHeight="1" spans="1:4" x14ac:dyDescent="0.25">
      <c r="A87" s="98" t="s">
        <v>961</v>
      </c>
      <c r="B87" s="97" t="s">
        <v>962</v>
      </c>
      <c r="C87" s="100" t="s">
        <v>963</v>
      </c>
      <c r="D87" s="98" t="s">
        <v>867</v>
      </c>
    </row>
    <row r="88" ht="27" customHeight="1" spans="1:4" x14ac:dyDescent="0.25">
      <c r="A88" s="98" t="s">
        <v>964</v>
      </c>
      <c r="B88" s="97" t="s">
        <v>965</v>
      </c>
      <c r="C88" s="100" t="s">
        <v>931</v>
      </c>
      <c r="D88" s="98" t="s">
        <v>867</v>
      </c>
    </row>
    <row r="89" ht="27" customHeight="1" spans="1:4" x14ac:dyDescent="0.25">
      <c r="A89" s="98" t="s">
        <v>966</v>
      </c>
      <c r="B89" s="97" t="s">
        <v>967</v>
      </c>
      <c r="C89" s="98" t="s">
        <v>874</v>
      </c>
      <c r="D89" s="98" t="s">
        <v>928</v>
      </c>
    </row>
    <row r="90" ht="27" customHeight="1" spans="1:4" x14ac:dyDescent="0.25">
      <c r="A90" s="98" t="s">
        <v>968</v>
      </c>
      <c r="B90" s="97" t="s">
        <v>969</v>
      </c>
      <c r="C90" s="100" t="s">
        <v>963</v>
      </c>
      <c r="D90" s="98" t="s">
        <v>970</v>
      </c>
    </row>
    <row r="91" ht="27" customHeight="1" spans="1:4" x14ac:dyDescent="0.25">
      <c r="A91" s="98" t="s">
        <v>971</v>
      </c>
      <c r="B91" s="97" t="s">
        <v>972</v>
      </c>
      <c r="C91" s="98" t="s">
        <v>874</v>
      </c>
      <c r="D91" s="98" t="s">
        <v>172</v>
      </c>
    </row>
    <row r="92" ht="27" customHeight="1" spans="1:4" x14ac:dyDescent="0.25">
      <c r="A92" s="98" t="s">
        <v>973</v>
      </c>
      <c r="B92" s="97" t="s">
        <v>974</v>
      </c>
      <c r="C92" s="100" t="s">
        <v>931</v>
      </c>
      <c r="D92" s="98" t="s">
        <v>932</v>
      </c>
    </row>
    <row r="93" ht="27" customHeight="1" spans="1:4" x14ac:dyDescent="0.25">
      <c r="A93" s="98" t="s">
        <v>975</v>
      </c>
      <c r="B93" s="97" t="s">
        <v>976</v>
      </c>
      <c r="C93" s="100" t="s">
        <v>923</v>
      </c>
      <c r="D93" s="98" t="s">
        <v>907</v>
      </c>
    </row>
    <row r="94" ht="27" customHeight="1" spans="1:4" x14ac:dyDescent="0.25">
      <c r="A94" s="98" t="s">
        <v>977</v>
      </c>
      <c r="B94" s="97" t="s">
        <v>978</v>
      </c>
      <c r="C94" s="98" t="s">
        <v>874</v>
      </c>
      <c r="D94" s="98" t="s">
        <v>928</v>
      </c>
    </row>
    <row r="95" ht="27" customHeight="1" spans="1:4" x14ac:dyDescent="0.25">
      <c r="A95" s="98" t="s">
        <v>979</v>
      </c>
      <c r="B95" s="97" t="s">
        <v>980</v>
      </c>
      <c r="C95" s="100" t="s">
        <v>963</v>
      </c>
      <c r="D95" s="98" t="s">
        <v>981</v>
      </c>
    </row>
    <row r="96" ht="38.5" customHeight="1" spans="1:4" x14ac:dyDescent="0.25">
      <c r="A96" s="98" t="s">
        <v>982</v>
      </c>
      <c r="B96" s="97" t="s">
        <v>983</v>
      </c>
      <c r="C96" s="100" t="s">
        <v>984</v>
      </c>
      <c r="D96" s="98" t="s">
        <v>915</v>
      </c>
    </row>
    <row r="97" ht="38.5" customHeight="1" spans="1:4" x14ac:dyDescent="0.25">
      <c r="A97" s="98" t="s">
        <v>985</v>
      </c>
      <c r="B97" s="97" t="s">
        <v>986</v>
      </c>
      <c r="C97" s="98" t="s">
        <v>874</v>
      </c>
      <c r="D97" s="98" t="s">
        <v>915</v>
      </c>
    </row>
    <row r="98" ht="50" customHeight="1" spans="1:4" x14ac:dyDescent="0.25">
      <c r="A98" s="98" t="s">
        <v>987</v>
      </c>
      <c r="B98" s="97" t="s">
        <v>988</v>
      </c>
      <c r="C98" s="100" t="s">
        <v>897</v>
      </c>
      <c r="D98" s="98" t="s">
        <v>904</v>
      </c>
    </row>
    <row r="99" ht="27" customHeight="1" spans="1:4" x14ac:dyDescent="0.25">
      <c r="A99" s="98" t="s">
        <v>989</v>
      </c>
      <c r="B99" s="97" t="s">
        <v>990</v>
      </c>
      <c r="C99" s="100" t="s">
        <v>991</v>
      </c>
      <c r="D99" s="98" t="s">
        <v>924</v>
      </c>
    </row>
    <row r="100" ht="15.5" customHeight="1" spans="1:4" x14ac:dyDescent="0.25">
      <c r="A100" s="98" t="s">
        <v>992</v>
      </c>
      <c r="B100" s="97" t="s">
        <v>993</v>
      </c>
      <c r="C100" s="98" t="s">
        <v>874</v>
      </c>
      <c r="D100" s="98" t="s">
        <v>994</v>
      </c>
    </row>
    <row r="101" ht="27" customHeight="1" spans="1:4" x14ac:dyDescent="0.25">
      <c r="A101" s="98" t="s">
        <v>995</v>
      </c>
      <c r="B101" s="97" t="s">
        <v>996</v>
      </c>
      <c r="C101" s="100" t="s">
        <v>877</v>
      </c>
      <c r="D101" s="98" t="s">
        <v>172</v>
      </c>
    </row>
    <row r="102" ht="27" customHeight="1" spans="1:4" x14ac:dyDescent="0.25">
      <c r="A102" s="98" t="s">
        <v>997</v>
      </c>
      <c r="B102" s="97" t="s">
        <v>998</v>
      </c>
      <c r="C102" s="98" t="s">
        <v>874</v>
      </c>
      <c r="D102" s="98" t="s">
        <v>172</v>
      </c>
    </row>
    <row r="103" ht="38.5" customHeight="1" spans="1:4" x14ac:dyDescent="0.25">
      <c r="A103" s="98" t="s">
        <v>999</v>
      </c>
      <c r="B103" s="97" t="s">
        <v>1000</v>
      </c>
      <c r="C103" s="98" t="s">
        <v>874</v>
      </c>
      <c r="D103" s="98" t="s">
        <v>1001</v>
      </c>
    </row>
    <row r="104" ht="27" customHeight="1" spans="1:4" x14ac:dyDescent="0.25">
      <c r="A104" s="98" t="s">
        <v>1002</v>
      </c>
      <c r="B104" s="97" t="s">
        <v>1003</v>
      </c>
      <c r="C104" s="100" t="s">
        <v>1004</v>
      </c>
      <c r="D104" s="98" t="s">
        <v>863</v>
      </c>
    </row>
    <row r="105" ht="27" customHeight="1" spans="1:4" x14ac:dyDescent="0.25">
      <c r="A105" s="98" t="s">
        <v>1005</v>
      </c>
      <c r="B105" s="97" t="s">
        <v>1006</v>
      </c>
      <c r="C105" s="98" t="s">
        <v>874</v>
      </c>
      <c r="D105" s="98" t="s">
        <v>172</v>
      </c>
    </row>
    <row r="106" ht="15.5" customHeight="1" spans="1:4" x14ac:dyDescent="0.25">
      <c r="A106" s="98" t="s">
        <v>1007</v>
      </c>
      <c r="B106" s="97" t="s">
        <v>1008</v>
      </c>
      <c r="C106" s="98" t="s">
        <v>874</v>
      </c>
      <c r="D106" s="98" t="s">
        <v>172</v>
      </c>
    </row>
    <row r="107" ht="27" customHeight="1" spans="1:4" x14ac:dyDescent="0.25">
      <c r="A107" s="98" t="s">
        <v>1009</v>
      </c>
      <c r="B107" s="97" t="s">
        <v>1010</v>
      </c>
      <c r="C107" s="100" t="s">
        <v>931</v>
      </c>
      <c r="D107" s="98" t="s">
        <v>932</v>
      </c>
    </row>
    <row r="108" ht="27" customHeight="1" spans="1:4" x14ac:dyDescent="0.25">
      <c r="A108" s="98" t="s">
        <v>1011</v>
      </c>
      <c r="B108" s="97" t="s">
        <v>1012</v>
      </c>
      <c r="C108" s="98" t="s">
        <v>874</v>
      </c>
      <c r="D108" s="98" t="s">
        <v>892</v>
      </c>
    </row>
    <row r="109" ht="38.5" customHeight="1" spans="1:4" x14ac:dyDescent="0.25">
      <c r="A109" s="98" t="s">
        <v>1013</v>
      </c>
      <c r="B109" s="97" t="s">
        <v>1014</v>
      </c>
      <c r="C109" s="98" t="s">
        <v>874</v>
      </c>
      <c r="D109" s="98" t="s">
        <v>1015</v>
      </c>
    </row>
    <row r="110" ht="38.5" customHeight="1" spans="1:4" x14ac:dyDescent="0.25">
      <c r="A110" s="98" t="s">
        <v>1016</v>
      </c>
      <c r="B110" s="97" t="s">
        <v>1017</v>
      </c>
      <c r="C110" s="100" t="s">
        <v>1018</v>
      </c>
      <c r="D110" s="98" t="s">
        <v>172</v>
      </c>
    </row>
    <row r="111" spans="1:1" x14ac:dyDescent="0.25">
      <c r="A111" s="18" t="s">
        <v>1019</v>
      </c>
    </row>
    <row r="113" ht="18" customHeight="1" spans="1:4" x14ac:dyDescent="0.25">
      <c r="A113" s="5" t="s">
        <v>1020</v>
      </c>
      <c r="B113" s="5"/>
      <c r="C113" s="5"/>
      <c r="D113" s="5"/>
    </row>
    <row r="114" ht="15.5" customHeight="1" spans="1:4" x14ac:dyDescent="0.25">
      <c r="A114" s="30" t="s">
        <v>1021</v>
      </c>
      <c r="B114" s="30"/>
      <c r="C114" s="30"/>
      <c r="D114" s="30"/>
    </row>
    <row r="115" ht="15.5" customHeight="1" spans="1:4" x14ac:dyDescent="0.25">
      <c r="A115" s="30" t="s">
        <v>1022</v>
      </c>
      <c r="B115" s="30"/>
      <c r="C115" s="30"/>
      <c r="D115" s="30"/>
    </row>
    <row r="116" ht="15.5" customHeight="1" spans="1:4" x14ac:dyDescent="0.25">
      <c r="A116" s="30" t="s">
        <v>1023</v>
      </c>
      <c r="B116" s="30"/>
      <c r="C116" s="30"/>
      <c r="D116" s="30"/>
    </row>
    <row r="117" ht="15.5" customHeight="1" spans="1:4" x14ac:dyDescent="0.25">
      <c r="A117" s="30" t="s">
        <v>1024</v>
      </c>
      <c r="B117" s="30"/>
      <c r="C117" s="30"/>
      <c r="D117" s="30"/>
    </row>
    <row r="118" ht="15.5" customHeight="1" spans="1:4" x14ac:dyDescent="0.25">
      <c r="A118" s="30" t="s">
        <v>1025</v>
      </c>
      <c r="B118" s="30"/>
      <c r="C118" s="30"/>
      <c r="D118" s="30"/>
    </row>
    <row r="119" ht="15.5" customHeight="1" spans="1:4" x14ac:dyDescent="0.25">
      <c r="A119" s="30" t="s">
        <v>1026</v>
      </c>
      <c r="B119" s="30"/>
      <c r="C119" s="30"/>
      <c r="D119" s="30"/>
    </row>
    <row r="120" ht="15.5" customHeight="1" spans="1:4" x14ac:dyDescent="0.25">
      <c r="A120" s="30" t="s">
        <v>1027</v>
      </c>
      <c r="B120" s="30"/>
      <c r="C120" s="30"/>
      <c r="D120" s="30"/>
    </row>
    <row r="121" ht="15.5" customHeight="1" spans="1:4" x14ac:dyDescent="0.25">
      <c r="A121" s="30" t="s">
        <v>1028</v>
      </c>
      <c r="B121" s="30"/>
      <c r="C121" s="30"/>
      <c r="D121" s="30"/>
    </row>
    <row r="122" ht="15.5" customHeight="1" spans="1:4" x14ac:dyDescent="0.25">
      <c r="A122" s="30" t="s">
        <v>1029</v>
      </c>
      <c r="B122" s="30"/>
      <c r="C122" s="30"/>
      <c r="D122" s="30"/>
    </row>
    <row r="123" ht="15.5" customHeight="1" spans="1:4" x14ac:dyDescent="0.25">
      <c r="A123" s="30" t="s">
        <v>1030</v>
      </c>
      <c r="B123" s="30"/>
      <c r="C123" s="30"/>
      <c r="D123" s="30"/>
    </row>
    <row r="125" spans="1:1" x14ac:dyDescent="0.25">
      <c r="A125" s="18" t="s">
        <v>1031</v>
      </c>
    </row>
  </sheetData>
  <mergeCells count="10">
    <mergeCell ref="A114:D114"/>
    <mergeCell ref="A115:D115"/>
    <mergeCell ref="A116:D116"/>
    <mergeCell ref="A117:D117"/>
    <mergeCell ref="A118:D118"/>
    <mergeCell ref="A119:D119"/>
    <mergeCell ref="A120:D120"/>
    <mergeCell ref="A121:D121"/>
    <mergeCell ref="A122:D122"/>
    <mergeCell ref="A123:D123"/>
  </mergeCells>
  <hyperlinks>
    <hyperlink ref="C53" r:id="rId1"/>
    <hyperlink ref="C54" r:id="rId2"/>
    <hyperlink ref="C55" r:id="rId3"/>
    <hyperlink ref="C56" r:id="rId4"/>
    <hyperlink ref="C57" r:id="rId5"/>
    <hyperlink ref="C58" r:id="rId6"/>
    <hyperlink ref="C60" r:id="rId7"/>
    <hyperlink ref="C61" r:id="rId8"/>
    <hyperlink ref="C62" r:id="rId9"/>
    <hyperlink ref="C63" r:id="rId10"/>
    <hyperlink ref="C64" r:id="rId11"/>
    <hyperlink ref="C66" r:id="rId12"/>
    <hyperlink ref="C67" r:id="rId13"/>
    <hyperlink ref="C70" r:id="rId14"/>
    <hyperlink ref="C71" r:id="rId15"/>
    <hyperlink ref="C73" r:id="rId16"/>
    <hyperlink ref="C74" r:id="rId17"/>
    <hyperlink ref="C75" r:id="rId18"/>
    <hyperlink ref="C76" r:id="rId19"/>
    <hyperlink ref="C77" r:id="rId20"/>
    <hyperlink ref="C78" r:id="rId21"/>
    <hyperlink ref="C80" r:id="rId22"/>
    <hyperlink ref="C81" r:id="rId23"/>
    <hyperlink ref="C82" r:id="rId24"/>
    <hyperlink ref="C84" r:id="rId25"/>
    <hyperlink ref="C86" r:id="rId26"/>
    <hyperlink ref="C87" r:id="rId27"/>
    <hyperlink ref="C88" r:id="rId28"/>
    <hyperlink ref="C90" r:id="rId29"/>
    <hyperlink ref="C92" r:id="rId30"/>
    <hyperlink ref="C93" r:id="rId31"/>
    <hyperlink ref="C95" r:id="rId32"/>
    <hyperlink ref="C96" r:id="rId33"/>
    <hyperlink ref="C98" r:id="rId34"/>
    <hyperlink ref="C99" r:id="rId35"/>
    <hyperlink ref="C101" r:id="rId36"/>
    <hyperlink ref="C104" r:id="rId37"/>
    <hyperlink ref="C107" r:id="rId38"/>
    <hyperlink ref="C110" r:id="rId39"/>
  </hyperlinks>
  <pageMargins left="0.45" right="0.45" top="0.7" bottom="0.6" header="0.3" footer="0.3"/>
  <pageSetup paperSize="9" orientation="landscape" horizontalDpi="4294967295" verticalDpi="4294967295" scale="100" fitToWidth="1" fitToHeight="0"/>
  <headerFooter>
    <oddHeader>&amp;L&amp;"Arial"&amp;8Advanced Energy Audit · Demo Foods (Pty) Ltd (fictional)&amp;R&amp;"Arial"&amp;8&amp;A</oddHeader>
    <oddFooter>&amp;L&amp;"Arial"&amp;8Thabiso Kali, Certified Energy Manager · Fictional demonstration&amp;R&amp;"Arial"&amp;8Page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Cover</vt:lpstr>
      <vt:lpstr>Inputs</vt:lpstr>
      <vt:lpstr>Bills</vt:lpstr>
      <vt:lpstr>Inventory</vt:lpstr>
      <vt:lpstr>Balance</vt:lpstr>
      <vt:lpstr>Measures</vt:lpstr>
      <vt:lpstr>CashFlows</vt:lpstr>
      <vt:lpstr>Portfolio</vt:lpstr>
      <vt:lpstr>Loan</vt:lpstr>
      <vt:lpstr>Sources &amp; methods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Thabiso Kali, Certified Energy Manager</dc:creator>
  <dc:title>Advanced Energy Audit: Demo Foods (Pty) Ltd (fictional)</dc:title>
  <dc:subject>Fictional demonstration</dc:subject>
  <dc:description/>
  <cp:keywords/>
  <cp:category/>
  <cp:lastModifiedBy>Thabiso Kali, Certified Energy Manager</cp:lastModifiedBy>
  <dcterms:created xsi:type="dcterms:W3CDTF">2026-10-21T14:04:04Z</dcterms:created>
  <dcterms:modified xsi:type="dcterms:W3CDTF">2026-10-21T14:04:04Z</dcterms:modified>
</cp:coreProperties>
</file>