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puts" sheetId="2" state="visible" r:id="rId4"/>
    <sheet name="Calculations" sheetId="3" state="visible" r:id="rId5"/>
    <sheet name="Outputs" sheetId="4" state="visible" r:id="rId6"/>
  </sheets>
  <definedNames>
    <definedName function="false" hidden="false" localSheetId="2" name="_xlnm.Print_Titles" vbProcedure="false">Calculations!$B:$D,Calculations!$5:$5</definedName>
    <definedName function="false" hidden="false" name="Allowance_12L_Annual" vbProcedure="false">Inputs!$C$30</definedName>
    <definedName function="false" hidden="false" name="Allowance_12L_Rate" vbProcedure="false">Inputs!$C$20</definedName>
    <definedName function="false" hidden="false" name="Annual_Tax_Dep" vbProcedure="false">Inputs!$C$29</definedName>
    <definedName function="false" hidden="false" name="Dep_Years" vbProcedure="false">Inputs!$C$19</definedName>
    <definedName function="false" hidden="false" name="Discount_Rate" vbProcedure="false">Inputs!$C$24</definedName>
    <definedName function="false" hidden="false" name="EE_Capex" vbProcedure="false">Inputs!$C$7</definedName>
    <definedName function="false" hidden="false" name="Energy_Saved_kWh" vbProcedure="false">Inputs!$C$8</definedName>
    <definedName function="false" hidden="false" name="Gross_Saving_Y1" vbProcedure="false">Inputs!$C$27</definedName>
    <definedName function="false" hidden="false" name="Maint_Escalation" vbProcedure="false">Inputs!$C$15</definedName>
    <definedName function="false" hidden="false" name="Maint_Y1" vbProcedure="false">Inputs!$C$14</definedName>
    <definedName function="false" hidden="false" name="Net_Saving_Y1" vbProcedure="false">Inputs!$C$28</definedName>
    <definedName function="false" hidden="false" name="Project_Life" vbProcedure="false">Inputs!$C$9</definedName>
    <definedName function="false" hidden="false" name="Tariff_Escalation" vbProcedure="false">Inputs!$C$13</definedName>
    <definedName function="false" hidden="false" name="Tariff_Y1" vbProcedure="false">Inputs!$C$12</definedName>
    <definedName function="false" hidden="false" name="Tax_Rate" vbProcedure="false">Inputs!$C$18</definedName>
    <definedName function="false" hidden="false" name="Tax_Value_12L_per_kWh" vbProcedure="false">Inputs!$C$31</definedName>
    <definedName function="false" hidden="false" name="Years_12L" vbProcedure="false">Inputs!$C$21</definedName>
    <definedName function="false" hidden="false" localSheetId="2" name="_xlnm.Print_Titles" vbProcedure="false">Calculations!$5:$5,Calculations!$B:$D</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<sst xmlns="http://schemas.openxmlformats.org/spreadsheetml/2006/main" count="261" uniqueCount="187">
  <si>
    <t xml:space="preserve">Energy-Efficiency Upgrade – Section 12L Business Case</t>
  </si>
  <si>
    <t xml:space="preserve">Illustrative reference case</t>
  </si>
  <si>
    <t xml:space="preserve">Prepared by</t>
  </si>
  <si>
    <t xml:space="preserve">[Your name], Certified Energy Manager</t>
  </si>
  <si>
    <t xml:space="preserve">Version / date</t>
  </si>
  <si>
    <t xml:space="preserve">v1.0 – October 2026</t>
  </si>
  <si>
    <t xml:space="preserve">Currency / basis</t>
  </si>
  <si>
    <t xml:space="preserve">South African rand (ZAR), nominal; annual periods, end-of-year cash flows</t>
  </si>
  <si>
    <t xml:space="preserve">Purpose</t>
  </si>
  <si>
    <t xml:space="preserve">After-tax business case for an energy-efficiency retrofit (e.g. lighting, variable-speed drives, HVAC and compressed-air measures) at a tax-paying South African company, with and without the section 12L energy-efficiency savings allowance. Because the company has other taxable income, the project's tax line can be negative: a deduction in excess of the project's own savings reduces tax elsewhere in the company. The model reports NPV and IRR in both cases and the simple pre-tax payback.</t>
  </si>
  <si>
    <t xml:space="preserve">All inputs are illustrative assumptions chosen to demonstrate the method. They are not drawn from any employer, client or real project. Nothing in this workbook is investment, tax or legal advice.</t>
  </si>
  <si>
    <t xml:space="preserve">Workbook map</t>
  </si>
  <si>
    <t xml:space="preserve">Cover</t>
  </si>
  <si>
    <t xml:space="preserve">This page: purpose, workbook map, how to use, colour key, simplifications.</t>
  </si>
  <si>
    <t xml:space="preserve">Inputs</t>
  </si>
  <si>
    <t xml:space="preserve">Every assumption in one place (blue cells), with units and source/notes. Inputs are named ranges.</t>
  </si>
  <si>
    <t xml:space="preserve">Calculations</t>
  </si>
  <si>
    <t xml:space="preserve">Annual timeline (year 0 to 15, flag-driven): savings, maintenance, capex, tax depreciation, the 12L allowance, and after-tax cash flows for Case A (without 12L) and Case B (with 12L).</t>
  </si>
  <si>
    <t xml:space="preserve">Outputs</t>
  </si>
  <si>
    <t xml:space="preserve">Dashboard: NPV and IRR with and without 12L, simple payback, value of the allowance, a 12L claim-period sensitivity, integrity checks and charts.</t>
  </si>
  <si>
    <t xml:space="preserve">How to use</t>
  </si>
  <si>
    <t xml:space="preserve">Step 1</t>
  </si>
  <si>
    <t xml:space="preserve">Change only the blue-on-yellow cells on the Inputs sheet (project life up to 15 years).</t>
  </si>
  <si>
    <t xml:space="preserve">Step 2</t>
  </si>
  <si>
    <t xml:space="preserve">Read the results on Outputs. All downstream cells are formulas and update automatically.</t>
  </si>
  <si>
    <t xml:space="preserve">Step 3</t>
  </si>
  <si>
    <t xml:space="preserve">Confirm the 'Model integrity checks' block on Outputs shows OK for every line before using a result.</t>
  </si>
  <si>
    <t xml:space="preserve">Step 4</t>
  </si>
  <si>
    <t xml:space="preserve">Years_12L sets how many years of savings are claimed under 12L (reference 1; see NOTES.md for why).</t>
  </si>
  <si>
    <t xml:space="preserve">Step 5</t>
  </si>
  <si>
    <t xml:space="preserve">Charts are set to the reference life (10 years); extend their ranges if you lengthen it.</t>
  </si>
  <si>
    <t xml:space="preserve">Colour key</t>
  </si>
  <si>
    <t xml:space="preserve">1,000</t>
  </si>
  <si>
    <t xml:space="preserve">Input / assumption (blue font, yellow fill) – the only cells you should edit</t>
  </si>
  <si>
    <t xml:space="preserve">Calculation (black font) – formula, do not overwrite</t>
  </si>
  <si>
    <t xml:space="preserve">Direct link to another sheet (green font)</t>
  </si>
  <si>
    <t xml:space="preserve">OK</t>
  </si>
  <si>
    <t xml:space="preserve">Integrity check passed (red fill = check failed)</t>
  </si>
  <si>
    <t xml:space="preserve">Key simplifications</t>
  </si>
  <si>
    <t xml:space="preserve">•</t>
  </si>
  <si>
    <t xml:space="preserve">Energy saving is constant in kWh every year (no performance decay, weather or production normalisation).</t>
  </si>
  <si>
    <t xml:space="preserve">Single blended avoided tariff (R/kWh) escalating at a constant rate; no time-of-use or demand-charge detail.</t>
  </si>
  <si>
    <t xml:space="preserve">The company is tax-paying with enough other taxable income to absorb any negative project tax in the same year.</t>
  </si>
  <si>
    <t xml:space="preserve">Tax depreciation straight-line over 5 years from year 1 (an assumption); no recoupment or residual value.</t>
  </si>
  <si>
    <t xml:space="preserve">12L allowance claimed in year 1 only in the reference case; M&amp;V and SANEDI certification costs not modelled; assumes no concurrent government benefit (e.g. a utility rebate) for the same savings.</t>
  </si>
  <si>
    <t xml:space="preserve">VAT ignored; capex at year 0; annual periods with end-of-year cash flows; tax paid in the year it arises.</t>
  </si>
  <si>
    <t xml:space="preserve">Formulas only downstream of Inputs; IRR and NPV via Excel functions. The workbook was recalculated in LibreOffice and cross-checked against an independent Python implementation of the same specification.</t>
  </si>
  <si>
    <t xml:space="preserve">Inputs – all assumptions</t>
  </si>
  <si>
    <t xml:space="preserve">Blue-on-yellow cells are inputs. Every downstream cell is a formula. Each input is a named range (shown in brackets) so formulas read in plain language.</t>
  </si>
  <si>
    <t xml:space="preserve">ILLUSTRATIVE REFERENCE CASE – not based on any real project, client or employer data</t>
  </si>
  <si>
    <t xml:space="preserve">Assumption</t>
  </si>
  <si>
    <t xml:space="preserve">Value</t>
  </si>
  <si>
    <t xml:space="preserve">Unit</t>
  </si>
  <si>
    <t xml:space="preserve">Source / notes (named range in brackets)</t>
  </si>
  <si>
    <t xml:space="preserve">Project</t>
  </si>
  <si>
    <t xml:space="preserve">Installed capital cost</t>
  </si>
  <si>
    <t xml:space="preserve">R</t>
  </si>
  <si>
    <t xml:space="preserve">Turnkey cost of the efficiency measures, incurred at year 0, excl. VAT. Illustrative.  [EE_Capex]</t>
  </si>
  <si>
    <t xml:space="preserve">Annual electricity saved</t>
  </si>
  <si>
    <t xml:space="preserve">kWh/yr</t>
  </si>
  <si>
    <t xml:space="preserve">Measured and verified saving against the baseline; constant each year. Illustrative.  [Energy_Saved_kWh]</t>
  </si>
  <si>
    <t xml:space="preserve">Economic life</t>
  </si>
  <si>
    <t xml:space="preserve">years</t>
  </si>
  <si>
    <t xml:space="preserve">Whole years 1–15 (timeline capacity 15).  [Project_Life]</t>
  </si>
  <si>
    <t xml:space="preserve">Electricity tariff and running costs</t>
  </si>
  <si>
    <t xml:space="preserve">Avoided electricity tariff, year 1</t>
  </si>
  <si>
    <t xml:space="preserve">R/kWh</t>
  </si>
  <si>
    <t xml:space="preserve">Blended avoided cost per kWh (energy plus the demand/network charges the measure avoids), excl. VAT. Illustrative.  [Tariff_Y1]</t>
  </si>
  <si>
    <t xml:space="preserve">Tariff escalation</t>
  </si>
  <si>
    <t xml:space="preserve">%/yr</t>
  </si>
  <si>
    <t xml:space="preserve">savings_y = kWh × tariff_1 × (1 + escalation)^(y − 1).  [Tariff_Escalation]</t>
  </si>
  <si>
    <t xml:space="preserve">Maintenance, year 1</t>
  </si>
  <si>
    <t xml:space="preserve">R/yr</t>
  </si>
  <si>
    <t xml:space="preserve">Incremental O&amp;M of the new equipment. Illustrative.  [Maint_Y1]</t>
  </si>
  <si>
    <t xml:space="preserve">Maintenance escalation</t>
  </si>
  <si>
    <t xml:space="preserve">maintenance_y = maintenance_1 × (1 + escalation)^(y − 1).  [Maint_Escalation]</t>
  </si>
  <si>
    <t xml:space="preserve">Tax</t>
  </si>
  <si>
    <t xml:space="preserve">Corporate income tax rate</t>
  </si>
  <si>
    <t xml:space="preserve">%</t>
  </si>
  <si>
    <t xml:space="preserve">SA company rate for years of assessment ending on/after 31 March 2023. The company is assumed to be tax-paying.  [Tax_Rate]</t>
  </si>
  <si>
    <t xml:space="preserve">Tax depreciation period (straight-line)</t>
  </si>
  <si>
    <t xml:space="preserve">Assumption: 20%/yr from year 1. Actual write-off depends on the asset class (e.g. s11(e) wear-and-tear or s12C).  [Dep_Years]</t>
  </si>
  <si>
    <t xml:space="preserve">Section 12L allowance rate</t>
  </si>
  <si>
    <t xml:space="preserve">s12L(2): 95 cents per kWh of verified savings (rate since 1 March 2015). Extended to years of assessment ending before 1 January 2031.  [Allowance_12L_Rate]</t>
  </si>
  <si>
    <t xml:space="preserve">Years of savings claimed under 12L</t>
  </si>
  <si>
    <t xml:space="preserve">Claimed from year 1. Reference = 1: SARS IN 95 – baseline resets each year of assessment, so a measure's saving is normally claimable once (one 12-month period).  [Years_12L]</t>
  </si>
  <si>
    <t xml:space="preserve">Valuation</t>
  </si>
  <si>
    <t xml:space="preserve">After-tax discount rate (hurdle)</t>
  </si>
  <si>
    <t xml:space="preserve">Nominal after-tax rate for NPV (year 0 undiscounted, end-of-year discounting).  [Discount_Rate]</t>
  </si>
  <si>
    <t xml:space="preserve">Derived values (formulas – do not edit)</t>
  </si>
  <si>
    <t xml:space="preserve">Gross electricity cost saving, year 1</t>
  </si>
  <si>
    <t xml:space="preserve">kWh × year-1 tariff.  [Gross_Saving_Y1]</t>
  </si>
  <si>
    <t xml:space="preserve">Net pre-tax saving, year 1</t>
  </si>
  <si>
    <t xml:space="preserve">Gross saving − maintenance (denominator of simple payback).  [Net_Saving_Y1]</t>
  </si>
  <si>
    <t xml:space="preserve">Annual tax depreciation</t>
  </si>
  <si>
    <t xml:space="preserve">Capex ÷ depreciation period.  [Annual_Tax_Dep]</t>
  </si>
  <si>
    <t xml:space="preserve">12L allowance per year claimed</t>
  </si>
  <si>
    <t xml:space="preserve">R/kWh × kWh saved (a tax deduction, not a cash grant).  [Allowance_12L_Annual]</t>
  </si>
  <si>
    <t xml:space="preserve">Tax value of 12L per kWh</t>
  </si>
  <si>
    <t xml:space="preserve">Deduction × tax rate = cash tax saved per kWh.  [Tax_Value_12L_per_kWh]</t>
  </si>
  <si>
    <t xml:space="preserve">All values are illustrative. Section 12L requires a SANEDI certificate based on a measurement and verification (M&amp;V) report; M&amp;V costs are not modelled.</t>
  </si>
  <si>
    <t xml:space="preserve">Calculations – annual timeline (nominal ZAR)</t>
  </si>
  <si>
    <t xml:space="preserve">All cells are formulas driven by the Inputs sheet. Year 0 = installation (capex); savings start in year 1. Tax lines: positive = tax payable, negative = tax saved against the company's other income.</t>
  </si>
  <si>
    <t xml:space="preserve">Model year</t>
  </si>
  <si>
    <t xml:space="preserve">Total / value</t>
  </si>
  <si>
    <t xml:space="preserve">Operating flag (1 = within project life)</t>
  </si>
  <si>
    <t xml:space="preserve">flag</t>
  </si>
  <si>
    <t xml:space="preserve">Tax depreciation flag (1 = within depreciation period)</t>
  </si>
  <si>
    <t xml:space="preserve">Section 12L claim flag (1 = allowance claimed)</t>
  </si>
  <si>
    <t xml:space="preserve">1. Energy and cost savings</t>
  </si>
  <si>
    <t xml:space="preserve">Electricity saved</t>
  </si>
  <si>
    <t xml:space="preserve">kWh</t>
  </si>
  <si>
    <t xml:space="preserve">Avoided electricity tariff</t>
  </si>
  <si>
    <t xml:space="preserve">Gross electricity cost saving</t>
  </si>
  <si>
    <t xml:space="preserve">Maintenance cost</t>
  </si>
  <si>
    <t xml:space="preserve">Net pre-tax saving</t>
  </si>
  <si>
    <t xml:space="preserve">2. Capital expenditure and tax deductions</t>
  </si>
  <si>
    <t xml:space="preserve">Capital expenditure</t>
  </si>
  <si>
    <t xml:space="preserve">Tax depreciation (straight-line)</t>
  </si>
  <si>
    <t xml:space="preserve">Section 12L allowance (deduction)</t>
  </si>
  <si>
    <t xml:space="preserve">3. Case A – without section 12L</t>
  </si>
  <si>
    <t xml:space="preserve">Less: tax depreciation</t>
  </si>
  <si>
    <t xml:space="preserve">Taxable income effect</t>
  </si>
  <si>
    <t xml:space="preserve">Tax payable / (saved)</t>
  </si>
  <si>
    <t xml:space="preserve">After-tax cash flow</t>
  </si>
  <si>
    <t xml:space="preserve">Cumulative after-tax cash flow</t>
  </si>
  <si>
    <t xml:space="preserve">4. Case B – with section 12L</t>
  </si>
  <si>
    <t xml:space="preserve">Less: section 12L allowance</t>
  </si>
  <si>
    <t xml:space="preserve">5. Discounting and value of the 12L allowance</t>
  </si>
  <si>
    <t xml:space="preserve">Discount factor at hurdle rate</t>
  </si>
  <si>
    <t xml:space="preserve">factor</t>
  </si>
  <si>
    <t xml:space="preserve">PV of after-tax cash flow – without 12L (total = NPV)</t>
  </si>
  <si>
    <t xml:space="preserve">PV of after-tax cash flow – with 12L (total = NPV)</t>
  </si>
  <si>
    <t xml:space="preserve">Incremental tax saved from 12L</t>
  </si>
  <si>
    <t xml:space="preserve">PV of incremental 12L tax saving</t>
  </si>
  <si>
    <t xml:space="preserve">Outputs – dashboard</t>
  </si>
  <si>
    <t xml:space="preserve">Headline results of the reference case, with and without the section 12L allowance. All values are live formulas.</t>
  </si>
  <si>
    <t xml:space="preserve">Headline outputs</t>
  </si>
  <si>
    <t xml:space="preserve">Metric</t>
  </si>
  <si>
    <t xml:space="preserve">Without 12L</t>
  </si>
  <si>
    <t xml:space="preserve">With 12L</t>
  </si>
  <si>
    <t xml:space="preserve">Difference</t>
  </si>
  <si>
    <t xml:space="preserve">Basis</t>
  </si>
  <si>
    <t xml:space="preserve">NPV at 12% (after tax)</t>
  </si>
  <si>
    <t xml:space="preserve">Year-0 capex undiscounted; years 1+ discounted at the hurdle rate.</t>
  </si>
  <si>
    <t xml:space="preserve">IRR (after tax)</t>
  </si>
  <si>
    <t xml:space="preserve">IRR of after-tax cash flows, year 0 to end of life.</t>
  </si>
  <si>
    <t xml:space="preserve">Simple pre-tax payback</t>
  </si>
  <si>
    <t xml:space="preserve">Capex ÷ (year-1 savings − year-1 maintenance); identical in both cases.</t>
  </si>
  <si>
    <t xml:space="preserve">Total after-tax cash flow over life (nominal)</t>
  </si>
  <si>
    <t xml:space="preserve">Undiscounted sum including year-0 capex.</t>
  </si>
  <si>
    <t xml:space="preserve">Section 12L allowance claimed (deduction)</t>
  </si>
  <si>
    <t xml:space="preserve">Rate × kWh × years claimed.</t>
  </si>
  <si>
    <t xml:space="preserve">Tax saved by 12L (nominal)</t>
  </si>
  <si>
    <t xml:space="preserve">Allowance × tax rate.</t>
  </si>
  <si>
    <t xml:space="preserve">Key figures</t>
  </si>
  <si>
    <t xml:space="preserve">Electricity saved per year</t>
  </si>
  <si>
    <t xml:space="preserve">Constant over the life.</t>
  </si>
  <si>
    <t xml:space="preserve">Gross cost saving, year 1</t>
  </si>
  <si>
    <t xml:space="preserve">kWh × year-1 tariff.</t>
  </si>
  <si>
    <t xml:space="preserve">Gross saving − maintenance.</t>
  </si>
  <si>
    <t xml:space="preserve">R0.95/kWh × kWh saved.</t>
  </si>
  <si>
    <t xml:space="preserve">Cash tax value of 12L per kWh</t>
  </si>
  <si>
    <t xml:space="preserve">Allowance rate × tax rate.</t>
  </si>
  <si>
    <t xml:space="preserve">PV of the 12L tax saving</t>
  </si>
  <si>
    <t xml:space="preserve">Equals the NPV difference above.</t>
  </si>
  <si>
    <t xml:space="preserve">12L tax saving as % of capex (nominal)</t>
  </si>
  <si>
    <t xml:space="preserve">Allowance × tax rate ÷ capex.</t>
  </si>
  <si>
    <t xml:space="preserve">Sensitivity – NPV by number of years of savings claimed under 12L (illustrative)</t>
  </si>
  <si>
    <t xml:space="preserve">Years of savings claimed</t>
  </si>
  <si>
    <t xml:space="preserve">Years (input)</t>
  </si>
  <si>
    <t xml:space="preserve">NPV at 12%</t>
  </si>
  <si>
    <t xml:space="preserve">vs no 12L</t>
  </si>
  <si>
    <t xml:space="preserve">Comment</t>
  </si>
  <si>
    <t xml:space="preserve">No 12L claim (Case A).</t>
  </si>
  <si>
    <t xml:space="preserve">Reference: one 12-month period of savings (SARS IN 95 baseline reset).</t>
  </si>
  <si>
    <t xml:space="preserve">Illustrative only – not supported for the same savings under IN 95.</t>
  </si>
  <si>
    <t xml:space="preserve">Closed form: NPV without 12L + PV of (tax rate × R/kWh × kWh) for the years claimed. Year counts in column C are sensitivity inputs.</t>
  </si>
  <si>
    <t xml:space="preserve">Model integrity checks</t>
  </si>
  <si>
    <t xml:space="preserve">NPV difference = PV of incremental 12L tax saving</t>
  </si>
  <si>
    <t xml:space="preserve">NPV() function = sum of discounted cash flows (both cases)</t>
  </si>
  <si>
    <t xml:space="preserve">Total tax depreciation = capex</t>
  </si>
  <si>
    <t xml:space="preserve">12L claim years and depreciation period within project life</t>
  </si>
  <si>
    <t xml:space="preserve">Project life within timeline capacity (15 years)</t>
  </si>
  <si>
    <t xml:space="preserve">12L allowance = rate × kWh × years claimed</t>
  </si>
  <si>
    <t xml:space="preserve">Overall model status</t>
  </si>
  <si>
    <t xml:space="preserve">Charts show the reference life (years 0–10). Simplifications: constant kWh savings, single blended tariff, tax-paying company, no VAT, annual periods.</t>
  </si>
</sst>
</file>

<file path=xl/styles.xml><?xml version="1.0" encoding="utf-8"?>
<styleSheet xmlns="http://schemas.openxmlformats.org/spreadsheetml/2006/main">
  <numFmts count="14">
    <numFmt numFmtId="164" formatCode="General"/>
    <numFmt numFmtId="165" formatCode="[&gt;=0.5]&quot;R &quot;#,##0;[&lt;=-0.5]&quot;(R &quot;#,##0\);\-"/>
    <numFmt numFmtId="166" formatCode="[&gt;=0.5]#,##0;[&lt;=-0.5]\(#,##0\);\-"/>
    <numFmt numFmtId="167" formatCode="0"/>
    <numFmt numFmtId="168" formatCode="&quot;R &quot;0.0000;&quot;(R &quot;0.0000\);\-"/>
    <numFmt numFmtId="169" formatCode="0.0%"/>
    <numFmt numFmtId="170" formatCode="&quot;Year &quot;0"/>
    <numFmt numFmtId="171" formatCode="0.0000"/>
    <numFmt numFmtId="172" formatCode="0.0%;\(0.0%\);\-"/>
    <numFmt numFmtId="173" formatCode="\+0.0%;\-0.0%;0.0%"/>
    <numFmt numFmtId="174" formatCode="0.00"/>
    <numFmt numFmtId="175" formatCode="\+0.00;\-0.00;0.00"/>
    <numFmt numFmtId="176" formatCode="\R#,##0.0,,\m"/>
    <numFmt numFmtId="177" formatCode="\R#,##0,\k"/>
  </numFmts>
  <fonts count="22">
    <font>
      <sz val="11"/>
      <color theme="1"/>
      <name val="Calibri"/>
      <family val="2"/>
      <charset val="1"/>
    </font>
    <font>
      <sz val="10"/>
      <name val="Arial"/>
      <family val="0"/>
    </font>
    <font>
      <sz val="10"/>
      <name val="Arial"/>
      <family val="0"/>
    </font>
    <font>
      <sz val="10"/>
      <name val="Arial"/>
      <family val="0"/>
    </font>
    <font>
      <b val="true"/>
      <sz val="20"/>
      <color rgb="FF1F3864"/>
      <name val="Arial"/>
      <family val="0"/>
      <charset val="1"/>
    </font>
    <font>
      <b val="true"/>
      <sz val="13"/>
      <color rgb="FFC00000"/>
      <name val="Arial"/>
      <family val="0"/>
      <charset val="1"/>
    </font>
    <font>
      <b val="true"/>
      <sz val="10"/>
      <name val="Arial"/>
      <family val="0"/>
      <charset val="1"/>
    </font>
    <font>
      <sz val="10"/>
      <color rgb="FF000000"/>
      <name val="Arial"/>
      <family val="0"/>
      <charset val="1"/>
    </font>
    <font>
      <b val="true"/>
      <sz val="11"/>
      <color rgb="FFFFFFFF"/>
      <name val="Arial"/>
      <family val="0"/>
      <charset val="1"/>
    </font>
    <font>
      <i val="true"/>
      <sz val="10"/>
      <color rgb="FFC00000"/>
      <name val="Arial"/>
      <family val="0"/>
      <charset val="1"/>
    </font>
    <font>
      <sz val="10"/>
      <color rgb="FF0000FF"/>
      <name val="Arial"/>
      <family val="0"/>
      <charset val="1"/>
    </font>
    <font>
      <sz val="10"/>
      <color rgb="FF008000"/>
      <name val="Arial"/>
      <family val="0"/>
      <charset val="1"/>
    </font>
    <font>
      <b val="true"/>
      <sz val="10"/>
      <color rgb="FF006100"/>
      <name val="Arial"/>
      <family val="0"/>
      <charset val="1"/>
    </font>
    <font>
      <sz val="9"/>
      <color rgb="FF595959"/>
      <name val="Arial"/>
      <family val="0"/>
      <charset val="1"/>
    </font>
    <font>
      <b val="true"/>
      <sz val="16"/>
      <color rgb="FF1F3864"/>
      <name val="Arial"/>
      <family val="0"/>
      <charset val="1"/>
    </font>
    <font>
      <i val="true"/>
      <sz val="10"/>
      <color rgb="FF595959"/>
      <name val="Arial"/>
      <family val="0"/>
      <charset val="1"/>
    </font>
    <font>
      <b val="true"/>
      <sz val="10"/>
      <color rgb="FFC00000"/>
      <name val="Arial"/>
      <family val="0"/>
      <charset val="1"/>
    </font>
    <font>
      <b val="true"/>
      <sz val="10"/>
      <color rgb="FF1F3864"/>
      <name val="Arial"/>
      <family val="0"/>
      <charset val="1"/>
    </font>
    <font>
      <sz val="10"/>
      <name val="Arial"/>
      <family val="0"/>
      <charset val="1"/>
    </font>
    <font>
      <b val="true"/>
      <sz val="11"/>
      <color rgb="FF1F3864"/>
      <name val="Arial"/>
      <family val="2"/>
    </font>
    <font>
      <sz val="8"/>
      <color rgb="FF404040"/>
      <name val="Arial"/>
      <family val="2"/>
    </font>
    <font>
      <b val="true"/>
      <sz val="8"/>
      <color rgb="FF404040"/>
      <name val="Arial"/>
      <family val="2"/>
    </font>
  </fonts>
  <fills count="7">
    <fill>
      <patternFill patternType="none"/>
    </fill>
    <fill>
      <patternFill patternType="gray125"/>
    </fill>
    <fill>
      <patternFill patternType="solid">
        <fgColor rgb="FF1F3864"/>
        <bgColor rgb="FF333399"/>
      </patternFill>
    </fill>
    <fill>
      <patternFill patternType="solid">
        <fgColor rgb="FFFFF2CC"/>
        <bgColor rgb="FFE2EFDA"/>
      </patternFill>
    </fill>
    <fill>
      <patternFill patternType="solid">
        <fgColor rgb="FFC6EFCE"/>
        <bgColor rgb="FFE2EFDA"/>
      </patternFill>
    </fill>
    <fill>
      <patternFill patternType="solid">
        <fgColor rgb="FFD9E1F2"/>
        <bgColor rgb="FFD9D9D9"/>
      </patternFill>
    </fill>
    <fill>
      <patternFill patternType="solid">
        <fgColor rgb="FFE2EFDA"/>
        <bgColor rgb="FFD9E1F2"/>
      </patternFill>
    </fill>
  </fills>
  <borders count="4">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1F3864"/>
      </bottom>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right" vertical="bottom"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right" vertical="bottom" textRotation="0" wrapText="false" indent="0" shrinkToFit="false"/>
      <protection locked="true" hidden="false"/>
    </xf>
    <xf numFmtId="170" fontId="8" fillId="2" borderId="0" xfId="0" applyFont="true" applyBorder="false" applyAlignment="true" applyProtection="false">
      <alignment horizontal="right" vertical="bottom" textRotation="0" wrapText="false" indent="0" shrinkToFit="false"/>
      <protection locked="true" hidden="false"/>
    </xf>
    <xf numFmtId="167" fontId="18"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6" fontId="18" fillId="0" borderId="0" xfId="0" applyFont="true" applyBorder="false" applyAlignment="false" applyProtection="false">
      <alignment horizontal="general" vertical="bottom" textRotation="0" wrapText="false" indent="0" shrinkToFit="false"/>
      <protection locked="true" hidden="false"/>
    </xf>
    <xf numFmtId="168" fontId="18"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5" fontId="18" fillId="0" borderId="0" xfId="0" applyFont="true" applyBorder="false" applyAlignment="false" applyProtection="false">
      <alignment horizontal="general" vertical="bottom" textRotation="0" wrapText="false" indent="0" shrinkToFit="false"/>
      <protection locked="true" hidden="false"/>
    </xf>
    <xf numFmtId="164" fontId="6" fillId="0" borderId="3" xfId="0" applyFont="true" applyBorder="true" applyAlignment="false" applyProtection="false">
      <alignment horizontal="general" vertical="bottom" textRotation="0" wrapText="false" indent="0" shrinkToFit="false"/>
      <protection locked="true" hidden="false"/>
    </xf>
    <xf numFmtId="164" fontId="13" fillId="0" borderId="3" xfId="0" applyFont="true" applyBorder="true" applyAlignment="false" applyProtection="false">
      <alignment horizontal="general" vertical="bottom" textRotation="0" wrapText="false" indent="0" shrinkToFit="false"/>
      <protection locked="true" hidden="false"/>
    </xf>
    <xf numFmtId="165" fontId="6"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5" fontId="18" fillId="0" borderId="3" xfId="0" applyFont="true" applyBorder="true" applyAlignment="false" applyProtection="false">
      <alignment horizontal="general" vertical="bottom" textRotation="0" wrapText="false" indent="0" shrinkToFit="false"/>
      <protection locked="true" hidden="false"/>
    </xf>
    <xf numFmtId="171" fontId="18" fillId="0" borderId="0" xfId="0" applyFont="true" applyBorder="false" applyAlignment="false" applyProtection="false">
      <alignment horizontal="general" vertical="bottom" textRotation="0" wrapText="false" indent="0" shrinkToFit="false"/>
      <protection locked="true" hidden="false"/>
    </xf>
    <xf numFmtId="165" fontId="6" fillId="6"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1" shrinkToFit="false"/>
      <protection locked="true" hidden="false"/>
    </xf>
    <xf numFmtId="172" fontId="6" fillId="6"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6" fillId="6"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006100"/>
        <sz val="10"/>
      </font>
      <fill>
        <patternFill>
          <bgColor rgb="FFC6EFCE"/>
        </patternFill>
      </fill>
    </dxf>
    <dxf>
      <font>
        <name val="Arial"/>
        <charset val="1"/>
        <family val="0"/>
        <b val="1"/>
        <color rgb="FF9C0006"/>
        <sz val="10"/>
      </font>
      <fill>
        <patternFill>
          <bgColor rgb="FFFFC7CE"/>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878787"/>
      <rgbColor rgb="FF5B9BD5"/>
      <rgbColor rgb="FF993366"/>
      <rgbColor rgb="FFFFF2CC"/>
      <rgbColor rgb="FFE2EFD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9E1F2"/>
      <rgbColor rgb="FFC6EFCE"/>
      <rgbColor rgb="FFFFFF99"/>
      <rgbColor rgb="FF99CCFF"/>
      <rgbColor rgb="FFFF99CC"/>
      <rgbColor rgb="FFCC99FF"/>
      <rgbColor rgb="FFFFC7CE"/>
      <rgbColor rgb="FF3366FF"/>
      <rgbColor rgb="FF33CCCC"/>
      <rgbColor rgb="FF99CC00"/>
      <rgbColor rgb="FFFFCC00"/>
      <rgbColor rgb="FFFF9900"/>
      <rgbColor rgb="FFFF6600"/>
      <rgbColor rgb="FF595959"/>
      <rgbColor rgb="FF969696"/>
      <rgbColor rgb="FF1F3864"/>
      <rgbColor rgb="FF339966"/>
      <rgbColor rgb="FF0061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00" spc="-1" strike="noStrike">
                <a:solidFill>
                  <a:srgbClr val="1f3864"/>
                </a:solidFill>
                <a:latin typeface="Arial"/>
              </a:defRPr>
            </a:pPr>
            <a:r>
              <a:rPr b="1" sz="1100" spc="-1" strike="noStrike">
                <a:solidFill>
                  <a:srgbClr val="1f3864"/>
                </a:solidFill>
                <a:latin typeface="Arial"/>
              </a:rPr>
              <a:t>Annual after-tax cash flow – with vs without 12L (R m)</a:t>
            </a:r>
          </a:p>
        </c:rich>
      </c:tx>
      <c:overlay val="0"/>
      <c:spPr>
        <a:noFill/>
        <a:ln w="0">
          <a:noFill/>
        </a:ln>
      </c:spPr>
    </c:title>
    <c:autoTitleDeleted val="0"/>
    <c:plotArea>
      <c:barChart>
        <c:barDir val="col"/>
        <c:grouping val="clustered"/>
        <c:varyColors val="0"/>
        <c:ser>
          <c:idx val="0"/>
          <c:order val="0"/>
          <c:tx>
            <c:strRef>
              <c:f>"Without 12L"</c:f>
              <c:strCache>
                <c:ptCount val="1"/>
                <c:pt idx="0">
                  <c:v>Without 12L</c:v>
                </c:pt>
              </c:strCache>
            </c:strRef>
          </c:tx>
          <c:spPr>
            <a:solidFill>
              <a:srgbClr val="5b9bd5"/>
            </a:solidFill>
            <a:ln w="0">
              <a:solidFill>
                <a:srgbClr val="5b9bd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Calculations!$E$5:$O$5</c:f>
              <c:multiLvlStrCache>
                <c:ptCount val="1"/>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lvl>
                  <c:pt idx="0">
                    <c:v>Year 0</c:v>
                  </c:pt>
                </c:lvl>
              </c:multiLvlStrCache>
            </c:multiLvlStrRef>
          </c:cat>
          <c:val>
            <c:numRef>
              <c:f>Calculations!$E$28:$O$28</c:f>
              <c:numCache>
                <c:formatCode>[&gt;=0.5]"R "#,##0;[&lt;=-0.5]"(R "#,##0\);\-</c:formatCode>
                <c:ptCount val="11"/>
                <c:pt idx="0">
                  <c:v>-3500000</c:v>
                </c:pt>
                <c:pt idx="1">
                  <c:v>875200</c:v>
                </c:pt>
                <c:pt idx="2">
                  <c:v>931191</c:v>
                </c:pt>
                <c:pt idx="3">
                  <c:v>991716.03</c:v>
                </c:pt>
                <c:pt idx="4">
                  <c:v>1057140.5499</c:v>
                </c:pt>
                <c:pt idx="5">
                  <c:v>1127859.393267</c:v>
                </c:pt>
                <c:pt idx="6">
                  <c:v>1015299.12407211</c:v>
                </c:pt>
                <c:pt idx="7">
                  <c:v>1097920.58230882</c:v>
                </c:pt>
                <c:pt idx="8">
                  <c:v>1187221.63362001</c:v>
                </c:pt>
                <c:pt idx="9">
                  <c:v>1283740.13927242</c:v>
                </c:pt>
                <c:pt idx="10">
                  <c:v>1388057.16412516</c:v>
                </c:pt>
              </c:numCache>
            </c:numRef>
          </c:val>
        </c:ser>
        <c:ser>
          <c:idx val="1"/>
          <c:order val="1"/>
          <c:tx>
            <c:strRef>
              <c:f>"With 12L"</c:f>
              <c:strCache>
                <c:ptCount val="1"/>
                <c:pt idx="0">
                  <c:v>With 12L</c:v>
                </c:pt>
              </c:strCache>
            </c:strRef>
          </c:tx>
          <c:spPr>
            <a:solidFill>
              <a:srgbClr val="1f3864"/>
            </a:solidFill>
            <a:ln w="0">
              <a:solidFill>
                <a:srgbClr val="1f3864"/>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Calculations!$E$5:$O$5</c:f>
              <c:multiLvlStrCache>
                <c:ptCount val="1"/>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lvl>
                  <c:pt idx="0">
                    <c:v>Year 0</c:v>
                  </c:pt>
                </c:lvl>
              </c:multiLvlStrCache>
            </c:multiLvlStrRef>
          </c:cat>
          <c:val>
            <c:numRef>
              <c:f>Calculations!$E$38:$O$38</c:f>
              <c:numCache>
                <c:formatCode>[&gt;=0.5]"R "#,##0;[&lt;=-0.5]"(R "#,##0\);\-</c:formatCode>
                <c:ptCount val="11"/>
                <c:pt idx="0">
                  <c:v>-3500000</c:v>
                </c:pt>
                <c:pt idx="1">
                  <c:v>990625</c:v>
                </c:pt>
                <c:pt idx="2">
                  <c:v>931191</c:v>
                </c:pt>
                <c:pt idx="3">
                  <c:v>991716.03</c:v>
                </c:pt>
                <c:pt idx="4">
                  <c:v>1057140.5499</c:v>
                </c:pt>
                <c:pt idx="5">
                  <c:v>1127859.393267</c:v>
                </c:pt>
                <c:pt idx="6">
                  <c:v>1015299.12407211</c:v>
                </c:pt>
                <c:pt idx="7">
                  <c:v>1097920.58230882</c:v>
                </c:pt>
                <c:pt idx="8">
                  <c:v>1187221.63362001</c:v>
                </c:pt>
                <c:pt idx="9">
                  <c:v>1283740.13927242</c:v>
                </c:pt>
                <c:pt idx="10">
                  <c:v>1388057.16412516</c:v>
                </c:pt>
              </c:numCache>
            </c:numRef>
          </c:val>
        </c:ser>
        <c:gapWidth val="60"/>
        <c:overlap val="0"/>
        <c:axId val="6629728"/>
        <c:axId val="79342756"/>
      </c:barChart>
      <c:catAx>
        <c:axId val="6629728"/>
        <c:scaling>
          <c:orientation val="minMax"/>
        </c:scaling>
        <c:delete val="0"/>
        <c:axPos val="b"/>
        <c:title>
          <c:tx>
            <c:rich>
              <a:bodyPr rot="0"/>
              <a:lstStyle/>
              <a:p>
                <a:pPr>
                  <a:defRPr b="1" sz="800" spc="-1" strike="noStrike">
                    <a:solidFill>
                      <a:srgbClr val="404040"/>
                    </a:solidFill>
                    <a:latin typeface="Arial"/>
                  </a:defRPr>
                </a:pPr>
                <a:r>
                  <a:rPr b="1" sz="800" spc="-1" strike="noStrike">
                    <a:solidFill>
                      <a:srgbClr val="404040"/>
                    </a:solidFill>
                    <a:latin typeface="Arial"/>
                  </a:rPr>
                  <a:t>Year</a:t>
                </a:r>
              </a:p>
            </c:rich>
          </c:tx>
          <c:overlay val="0"/>
          <c:spPr>
            <a:noFill/>
            <a:ln w="0">
              <a:noFill/>
            </a:ln>
          </c:spPr>
        </c:title>
        <c:numFmt formatCode="0" sourceLinked="0"/>
        <c:majorTickMark val="none"/>
        <c:minorTickMark val="none"/>
        <c:tickLblPos val="low"/>
        <c:spPr>
          <a:ln w="9360">
            <a:solidFill>
              <a:srgbClr val="878787"/>
            </a:solidFill>
            <a:round/>
          </a:ln>
        </c:spPr>
        <c:txPr>
          <a:bodyPr/>
          <a:lstStyle/>
          <a:p>
            <a:pPr>
              <a:defRPr b="0" sz="800" spc="-1" strike="noStrike">
                <a:solidFill>
                  <a:srgbClr val="404040"/>
                </a:solidFill>
                <a:latin typeface="Arial"/>
              </a:defRPr>
            </a:pPr>
          </a:p>
        </c:txPr>
        <c:crossAx val="79342756"/>
        <c:crosses val="autoZero"/>
        <c:auto val="1"/>
        <c:lblAlgn val="ctr"/>
        <c:lblOffset val="100"/>
        <c:noMultiLvlLbl val="0"/>
      </c:catAx>
      <c:valAx>
        <c:axId val="79342756"/>
        <c:scaling>
          <c:orientation val="minMax"/>
        </c:scaling>
        <c:delete val="0"/>
        <c:axPos val="l"/>
        <c:majorGridlines>
          <c:spPr>
            <a:ln w="9360">
              <a:solidFill>
                <a:srgbClr val="d9d9d9"/>
              </a:solidFill>
              <a:round/>
            </a:ln>
          </c:spPr>
        </c:majorGridlines>
        <c:title>
          <c:tx>
            <c:rich>
              <a:bodyPr rot="-5400000"/>
              <a:lstStyle/>
              <a:p>
                <a:pPr>
                  <a:defRPr b="1" sz="800" spc="-1" strike="noStrike">
                    <a:solidFill>
                      <a:srgbClr val="404040"/>
                    </a:solidFill>
                    <a:latin typeface="Arial"/>
                  </a:defRPr>
                </a:pPr>
                <a:r>
                  <a:rPr b="1" sz="800" spc="-1" strike="noStrike">
                    <a:solidFill>
                      <a:srgbClr val="404040"/>
                    </a:solidFill>
                    <a:latin typeface="Arial"/>
                  </a:rPr>
                  <a:t>R million</a:t>
                </a:r>
              </a:p>
            </c:rich>
          </c:tx>
          <c:overlay val="0"/>
          <c:spPr>
            <a:noFill/>
            <a:ln w="0">
              <a:noFill/>
            </a:ln>
          </c:spPr>
        </c:title>
        <c:numFmt formatCode="\R#,##0.0,,\m" sourceLinked="0"/>
        <c:majorTickMark val="none"/>
        <c:minorTickMark val="none"/>
        <c:tickLblPos val="nextTo"/>
        <c:spPr>
          <a:ln w="9360">
            <a:solidFill>
              <a:srgbClr val="878787"/>
            </a:solidFill>
            <a:round/>
          </a:ln>
        </c:spPr>
        <c:txPr>
          <a:bodyPr/>
          <a:lstStyle/>
          <a:p>
            <a:pPr>
              <a:defRPr b="0" sz="800" spc="-1" strike="noStrike">
                <a:solidFill>
                  <a:srgbClr val="404040"/>
                </a:solidFill>
                <a:latin typeface="Arial"/>
              </a:defRPr>
            </a:pPr>
          </a:p>
        </c:txPr>
        <c:crossAx val="6629728"/>
        <c:crosses val="autoZero"/>
        <c:crossBetween val="between"/>
      </c:valAx>
      <c:spPr>
        <a:noFill/>
        <a:ln w="0">
          <a:noFill/>
        </a:ln>
      </c:spPr>
    </c:plotArea>
    <c:legend>
      <c:legendPos val="b"/>
      <c:overlay val="0"/>
      <c:spPr>
        <a:noFill/>
        <a:ln w="0">
          <a:noFill/>
        </a:ln>
      </c:spPr>
      <c:txPr>
        <a:bodyPr/>
        <a:lstStyle/>
        <a:p>
          <a:pPr>
            <a:defRPr b="0" sz="800" spc="-1" strike="noStrike">
              <a:solidFill>
                <a:srgbClr val="404040"/>
              </a:solidFill>
              <a:latin typeface="Arial"/>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00" spc="-1" strike="noStrike">
                <a:solidFill>
                  <a:srgbClr val="1f3864"/>
                </a:solidFill>
                <a:latin typeface="Arial"/>
              </a:defRPr>
            </a:pPr>
            <a:r>
              <a:rPr b="1" sz="1100" spc="-1" strike="noStrike">
                <a:solidFill>
                  <a:srgbClr val="1f3864"/>
                </a:solidFill>
                <a:latin typeface="Arial"/>
              </a:rPr>
              <a:t>Cumulative after-tax cash flow (R m)</a:t>
            </a:r>
          </a:p>
        </c:rich>
      </c:tx>
      <c:overlay val="0"/>
      <c:spPr>
        <a:noFill/>
        <a:ln w="0">
          <a:noFill/>
        </a:ln>
      </c:spPr>
    </c:title>
    <c:autoTitleDeleted val="0"/>
    <c:plotArea>
      <c:lineChart>
        <c:grouping val="standard"/>
        <c:varyColors val="0"/>
        <c:ser>
          <c:idx val="0"/>
          <c:order val="0"/>
          <c:tx>
            <c:strRef>
              <c:f>"Without 12L"</c:f>
              <c:strCache>
                <c:ptCount val="1"/>
                <c:pt idx="0">
                  <c:v>Without 12L</c:v>
                </c:pt>
              </c:strCache>
            </c:strRef>
          </c:tx>
          <c:spPr>
            <a:solidFill>
              <a:srgbClr val="5b9bd5"/>
            </a:solidFill>
            <a:ln w="28440">
              <a:solidFill>
                <a:srgbClr val="5b9bd5"/>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Calculations!$E$5:$O$5</c:f>
              <c:multiLvlStrCache>
                <c:ptCount val="1"/>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lvl>
                  <c:pt idx="0">
                    <c:v>Year 0</c:v>
                  </c:pt>
                </c:lvl>
              </c:multiLvlStrCache>
            </c:multiLvlStrRef>
          </c:cat>
          <c:val>
            <c:numRef>
              <c:f>Calculations!$E$29:$O$29</c:f>
              <c:numCache>
                <c:formatCode>[&gt;=0.5]"R "#,##0;[&lt;=-0.5]"(R "#,##0\);\-</c:formatCode>
                <c:ptCount val="11"/>
                <c:pt idx="0">
                  <c:v>-3500000</c:v>
                </c:pt>
                <c:pt idx="1">
                  <c:v>-2624800</c:v>
                </c:pt>
                <c:pt idx="2">
                  <c:v>-1693609</c:v>
                </c:pt>
                <c:pt idx="3">
                  <c:v>-701892.97</c:v>
                </c:pt>
                <c:pt idx="4">
                  <c:v>355247.579900001</c:v>
                </c:pt>
                <c:pt idx="5">
                  <c:v>1483106.973167</c:v>
                </c:pt>
                <c:pt idx="6">
                  <c:v>2498406.09723911</c:v>
                </c:pt>
                <c:pt idx="7">
                  <c:v>3596326.67954793</c:v>
                </c:pt>
                <c:pt idx="8">
                  <c:v>4783548.31316793</c:v>
                </c:pt>
                <c:pt idx="9">
                  <c:v>6067288.45244035</c:v>
                </c:pt>
                <c:pt idx="10">
                  <c:v>7455345.61656551</c:v>
                </c:pt>
              </c:numCache>
            </c:numRef>
          </c:val>
          <c:smooth val="0"/>
        </c:ser>
        <c:ser>
          <c:idx val="1"/>
          <c:order val="1"/>
          <c:tx>
            <c:strRef>
              <c:f>"With 12L"</c:f>
              <c:strCache>
                <c:ptCount val="1"/>
                <c:pt idx="0">
                  <c:v>With 12L</c:v>
                </c:pt>
              </c:strCache>
            </c:strRef>
          </c:tx>
          <c:spPr>
            <a:solidFill>
              <a:srgbClr val="1f3864"/>
            </a:solidFill>
            <a:ln w="28440">
              <a:solidFill>
                <a:srgbClr val="1f3864"/>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Calculations!$E$5:$O$5</c:f>
              <c:multiLvlStrCache>
                <c:ptCount val="1"/>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lvl>
                  <c:pt idx="0">
                    <c:v>Year 0</c:v>
                  </c:pt>
                </c:lvl>
              </c:multiLvlStrCache>
            </c:multiLvlStrRef>
          </c:cat>
          <c:val>
            <c:numRef>
              <c:f>Calculations!$E$39:$O$39</c:f>
              <c:numCache>
                <c:formatCode>[&gt;=0.5]"R "#,##0;[&lt;=-0.5]"(R "#,##0\);\-</c:formatCode>
                <c:ptCount val="11"/>
                <c:pt idx="0">
                  <c:v>-3500000</c:v>
                </c:pt>
                <c:pt idx="1">
                  <c:v>-2509375</c:v>
                </c:pt>
                <c:pt idx="2">
                  <c:v>-1578184</c:v>
                </c:pt>
                <c:pt idx="3">
                  <c:v>-586467.97</c:v>
                </c:pt>
                <c:pt idx="4">
                  <c:v>470672.579900001</c:v>
                </c:pt>
                <c:pt idx="5">
                  <c:v>1598531.973167</c:v>
                </c:pt>
                <c:pt idx="6">
                  <c:v>2613831.09723911</c:v>
                </c:pt>
                <c:pt idx="7">
                  <c:v>3711751.67954793</c:v>
                </c:pt>
                <c:pt idx="8">
                  <c:v>4898973.31316793</c:v>
                </c:pt>
                <c:pt idx="9">
                  <c:v>6182713.45244035</c:v>
                </c:pt>
                <c:pt idx="10">
                  <c:v>7570770.61656551</c:v>
                </c:pt>
              </c:numCache>
            </c:numRef>
          </c:val>
          <c:smooth val="0"/>
        </c:ser>
        <c:hiLowLines>
          <c:spPr>
            <a:ln w="0">
              <a:noFill/>
            </a:ln>
          </c:spPr>
        </c:hiLowLines>
        <c:marker val="0"/>
        <c:axId val="59601117"/>
        <c:axId val="68611569"/>
      </c:lineChart>
      <c:catAx>
        <c:axId val="59601117"/>
        <c:scaling>
          <c:orientation val="minMax"/>
        </c:scaling>
        <c:delete val="0"/>
        <c:axPos val="b"/>
        <c:title>
          <c:tx>
            <c:rich>
              <a:bodyPr rot="0"/>
              <a:lstStyle/>
              <a:p>
                <a:pPr>
                  <a:defRPr b="1" sz="800" spc="-1" strike="noStrike">
                    <a:solidFill>
                      <a:srgbClr val="404040"/>
                    </a:solidFill>
                    <a:latin typeface="Arial"/>
                  </a:defRPr>
                </a:pPr>
                <a:r>
                  <a:rPr b="1" sz="800" spc="-1" strike="noStrike">
                    <a:solidFill>
                      <a:srgbClr val="404040"/>
                    </a:solidFill>
                    <a:latin typeface="Arial"/>
                  </a:rPr>
                  <a:t>Year</a:t>
                </a:r>
              </a:p>
            </c:rich>
          </c:tx>
          <c:overlay val="0"/>
          <c:spPr>
            <a:noFill/>
            <a:ln w="0">
              <a:noFill/>
            </a:ln>
          </c:spPr>
        </c:title>
        <c:numFmt formatCode="0" sourceLinked="0"/>
        <c:majorTickMark val="none"/>
        <c:minorTickMark val="none"/>
        <c:tickLblPos val="low"/>
        <c:spPr>
          <a:ln w="9360">
            <a:solidFill>
              <a:srgbClr val="878787"/>
            </a:solidFill>
            <a:round/>
          </a:ln>
        </c:spPr>
        <c:txPr>
          <a:bodyPr/>
          <a:lstStyle/>
          <a:p>
            <a:pPr>
              <a:defRPr b="0" sz="800" spc="-1" strike="noStrike">
                <a:solidFill>
                  <a:srgbClr val="404040"/>
                </a:solidFill>
                <a:latin typeface="Arial"/>
              </a:defRPr>
            </a:pPr>
          </a:p>
        </c:txPr>
        <c:crossAx val="68611569"/>
        <c:crosses val="autoZero"/>
        <c:auto val="1"/>
        <c:lblAlgn val="ctr"/>
        <c:lblOffset val="100"/>
        <c:noMultiLvlLbl val="0"/>
      </c:catAx>
      <c:valAx>
        <c:axId val="68611569"/>
        <c:scaling>
          <c:orientation val="minMax"/>
        </c:scaling>
        <c:delete val="0"/>
        <c:axPos val="l"/>
        <c:majorGridlines>
          <c:spPr>
            <a:ln w="9360">
              <a:solidFill>
                <a:srgbClr val="d9d9d9"/>
              </a:solidFill>
              <a:round/>
            </a:ln>
          </c:spPr>
        </c:majorGridlines>
        <c:title>
          <c:tx>
            <c:rich>
              <a:bodyPr rot="-5400000"/>
              <a:lstStyle/>
              <a:p>
                <a:pPr>
                  <a:defRPr b="1" sz="800" spc="-1" strike="noStrike">
                    <a:solidFill>
                      <a:srgbClr val="404040"/>
                    </a:solidFill>
                    <a:latin typeface="Arial"/>
                  </a:defRPr>
                </a:pPr>
                <a:r>
                  <a:rPr b="1" sz="800" spc="-1" strike="noStrike">
                    <a:solidFill>
                      <a:srgbClr val="404040"/>
                    </a:solidFill>
                    <a:latin typeface="Arial"/>
                  </a:rPr>
                  <a:t>R million</a:t>
                </a:r>
              </a:p>
            </c:rich>
          </c:tx>
          <c:overlay val="0"/>
          <c:spPr>
            <a:noFill/>
            <a:ln w="0">
              <a:noFill/>
            </a:ln>
          </c:spPr>
        </c:title>
        <c:numFmt formatCode="\R#,##0.0,,\m" sourceLinked="0"/>
        <c:majorTickMark val="none"/>
        <c:minorTickMark val="none"/>
        <c:tickLblPos val="nextTo"/>
        <c:spPr>
          <a:ln w="9360">
            <a:solidFill>
              <a:srgbClr val="878787"/>
            </a:solidFill>
            <a:round/>
          </a:ln>
        </c:spPr>
        <c:txPr>
          <a:bodyPr/>
          <a:lstStyle/>
          <a:p>
            <a:pPr>
              <a:defRPr b="0" sz="800" spc="-1" strike="noStrike">
                <a:solidFill>
                  <a:srgbClr val="404040"/>
                </a:solidFill>
                <a:latin typeface="Arial"/>
              </a:defRPr>
            </a:pPr>
          </a:p>
        </c:txPr>
        <c:crossAx val="59601117"/>
        <c:crosses val="autoZero"/>
        <c:crossBetween val="between"/>
      </c:valAx>
      <c:spPr>
        <a:noFill/>
        <a:ln w="0">
          <a:noFill/>
        </a:ln>
      </c:spPr>
    </c:plotArea>
    <c:legend>
      <c:legendPos val="b"/>
      <c:overlay val="0"/>
      <c:spPr>
        <a:noFill/>
        <a:ln w="0">
          <a:noFill/>
        </a:ln>
      </c:spPr>
      <c:txPr>
        <a:bodyPr/>
        <a:lstStyle/>
        <a:p>
          <a:pPr>
            <a:defRPr b="0" sz="800" spc="-1" strike="noStrike">
              <a:solidFill>
                <a:srgbClr val="404040"/>
              </a:solidFill>
              <a:latin typeface="Arial"/>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00" spc="-1" strike="noStrike">
                <a:solidFill>
                  <a:srgbClr val="1f3864"/>
                </a:solidFill>
                <a:latin typeface="Arial"/>
              </a:defRPr>
            </a:pPr>
            <a:r>
              <a:rPr b="1" sz="1100" spc="-1" strike="noStrike">
                <a:solidFill>
                  <a:srgbClr val="1f3864"/>
                </a:solidFill>
                <a:latin typeface="Arial"/>
              </a:rPr>
              <a:t>NPV uplift from 12L by years of savings claimed (R '000)</a:t>
            </a:r>
          </a:p>
        </c:rich>
      </c:tx>
      <c:overlay val="0"/>
      <c:spPr>
        <a:noFill/>
        <a:ln w="0">
          <a:noFill/>
        </a:ln>
      </c:spPr>
    </c:title>
    <c:autoTitleDeleted val="0"/>
    <c:plotArea>
      <c:barChart>
        <c:barDir val="bar"/>
        <c:grouping val="clustered"/>
        <c:varyColors val="0"/>
        <c:ser>
          <c:idx val="0"/>
          <c:order val="0"/>
          <c:tx>
            <c:strRef>
              <c:f>"NPV uplift vs no 12L"</c:f>
              <c:strCache>
                <c:ptCount val="1"/>
                <c:pt idx="0">
                  <c:v>NPV uplift vs no 12L</c:v>
                </c:pt>
              </c:strCache>
            </c:strRef>
          </c:tx>
          <c:spPr>
            <a:solidFill>
              <a:srgbClr val="1f3864"/>
            </a:solidFill>
            <a:ln w="0">
              <a:solidFill>
                <a:srgbClr val="1f3864"/>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Outputs!$B$25:$B$28</c:f>
              <c:strCache>
                <c:ptCount val="4"/>
                <c:pt idx="0">
                  <c:v>Claimed for 0 years</c:v>
                </c:pt>
                <c:pt idx="1">
                  <c:v>Claimed for 1 year</c:v>
                </c:pt>
                <c:pt idx="2">
                  <c:v>Claimed for 2 years</c:v>
                </c:pt>
                <c:pt idx="3">
                  <c:v>Claimed for 3 years</c:v>
                </c:pt>
              </c:strCache>
            </c:strRef>
          </c:cat>
          <c:val>
            <c:numRef>
              <c:f>Outputs!$E$25:$E$28</c:f>
              <c:numCache>
                <c:formatCode>[&gt;=0.5]"R "#,##0;[&lt;=-0.5]"(R "#,##0\);\-</c:formatCode>
                <c:ptCount val="4"/>
                <c:pt idx="0">
                  <c:v>0</c:v>
                </c:pt>
                <c:pt idx="1">
                  <c:v>103058.035714286</c:v>
                </c:pt>
                <c:pt idx="2">
                  <c:v>195074.139030613</c:v>
                </c:pt>
                <c:pt idx="3">
                  <c:v>277231.374134475</c:v>
                </c:pt>
              </c:numCache>
            </c:numRef>
          </c:val>
        </c:ser>
        <c:gapWidth val="60"/>
        <c:overlap val="0"/>
        <c:axId val="15558913"/>
        <c:axId val="5767625"/>
      </c:barChart>
      <c:catAx>
        <c:axId val="15558913"/>
        <c:scaling>
          <c:orientation val="maxMin"/>
        </c:scaling>
        <c:delete val="0"/>
        <c:axPos val="b"/>
        <c:title>
          <c:tx>
            <c:rich>
              <a:bodyPr rot="-5400000"/>
              <a:lstStyle/>
              <a:p>
                <a:pPr>
                  <a:defRPr b="1" sz="800" spc="-1" strike="noStrike">
                    <a:solidFill>
                      <a:srgbClr val="404040"/>
                    </a:solidFill>
                    <a:latin typeface="Arial"/>
                  </a:defRPr>
                </a:pPr>
                <a:r>
                  <a:rPr b="1" sz="800" spc="-1" strike="noStrike">
                    <a:solidFill>
                      <a:srgbClr val="404040"/>
                    </a:solidFill>
                    <a:latin typeface="Arial"/>
                  </a:rPr>
                  <a:t>12L claim period</a:t>
                </a:r>
              </a:p>
            </c:rich>
          </c:tx>
          <c:overlay val="0"/>
          <c:spPr>
            <a:noFill/>
            <a:ln w="0">
              <a:noFill/>
            </a:ln>
          </c:spPr>
        </c:title>
        <c:numFmt formatCode="General" sourceLinked="1"/>
        <c:majorTickMark val="none"/>
        <c:minorTickMark val="none"/>
        <c:tickLblPos val="low"/>
        <c:spPr>
          <a:ln w="9360">
            <a:solidFill>
              <a:srgbClr val="878787"/>
            </a:solidFill>
            <a:round/>
          </a:ln>
        </c:spPr>
        <c:txPr>
          <a:bodyPr/>
          <a:lstStyle/>
          <a:p>
            <a:pPr>
              <a:defRPr b="0" sz="800" spc="-1" strike="noStrike">
                <a:solidFill>
                  <a:srgbClr val="404040"/>
                </a:solidFill>
                <a:latin typeface="Arial"/>
              </a:defRPr>
            </a:pPr>
          </a:p>
        </c:txPr>
        <c:crossAx val="5767625"/>
        <c:crosses val="autoZero"/>
        <c:auto val="1"/>
        <c:lblAlgn val="ctr"/>
        <c:lblOffset val="100"/>
        <c:noMultiLvlLbl val="0"/>
      </c:catAx>
      <c:valAx>
        <c:axId val="5767625"/>
        <c:scaling>
          <c:orientation val="minMax"/>
          <c:min val="0"/>
        </c:scaling>
        <c:delete val="0"/>
        <c:axPos val="l"/>
        <c:majorGridlines>
          <c:spPr>
            <a:ln w="9360">
              <a:solidFill>
                <a:srgbClr val="d9d9d9"/>
              </a:solidFill>
              <a:round/>
            </a:ln>
          </c:spPr>
        </c:majorGridlines>
        <c:title>
          <c:tx>
            <c:rich>
              <a:bodyPr rot="0"/>
              <a:lstStyle/>
              <a:p>
                <a:pPr>
                  <a:defRPr b="1" sz="800" spc="-1" strike="noStrike">
                    <a:solidFill>
                      <a:srgbClr val="404040"/>
                    </a:solidFill>
                    <a:latin typeface="Arial"/>
                  </a:defRPr>
                </a:pPr>
                <a:r>
                  <a:rPr b="1" sz="800" spc="-1" strike="noStrike">
                    <a:solidFill>
                      <a:srgbClr val="404040"/>
                    </a:solidFill>
                    <a:latin typeface="Arial"/>
                  </a:rPr>
                  <a:t>R thousand</a:t>
                </a:r>
              </a:p>
            </c:rich>
          </c:tx>
          <c:overlay val="0"/>
          <c:spPr>
            <a:noFill/>
            <a:ln w="0">
              <a:noFill/>
            </a:ln>
          </c:spPr>
        </c:title>
        <c:numFmt formatCode="\R#,##0,\k" sourceLinked="0"/>
        <c:majorTickMark val="none"/>
        <c:minorTickMark val="none"/>
        <c:tickLblPos val="nextTo"/>
        <c:spPr>
          <a:ln w="9360">
            <a:solidFill>
              <a:srgbClr val="878787"/>
            </a:solidFill>
            <a:round/>
          </a:ln>
        </c:spPr>
        <c:txPr>
          <a:bodyPr/>
          <a:lstStyle/>
          <a:p>
            <a:pPr>
              <a:defRPr b="0" sz="800" spc="-1" strike="noStrike">
                <a:solidFill>
                  <a:srgbClr val="404040"/>
                </a:solidFill>
                <a:latin typeface="Arial"/>
              </a:defRPr>
            </a:pPr>
          </a:p>
        </c:txPr>
        <c:crossAx val="15558913"/>
        <c:crosses val="max"/>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4</xdr:row>
      <xdr:rowOff>0</xdr:rowOff>
    </xdr:from>
    <xdr:to>
      <xdr:col>19</xdr:col>
      <xdr:colOff>184680</xdr:colOff>
      <xdr:row>19</xdr:row>
      <xdr:rowOff>21960</xdr:rowOff>
    </xdr:to>
    <xdr:graphicFrame>
      <xdr:nvGraphicFramePr>
        <xdr:cNvPr id="0" name="Chart 1"/>
        <xdr:cNvGraphicFramePr/>
      </xdr:nvGraphicFramePr>
      <xdr:xfrm>
        <a:off x="13298760" y="876240"/>
        <a:ext cx="62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21</xdr:row>
      <xdr:rowOff>0</xdr:rowOff>
    </xdr:from>
    <xdr:to>
      <xdr:col>19</xdr:col>
      <xdr:colOff>184680</xdr:colOff>
      <xdr:row>36</xdr:row>
      <xdr:rowOff>21960</xdr:rowOff>
    </xdr:to>
    <xdr:graphicFrame>
      <xdr:nvGraphicFramePr>
        <xdr:cNvPr id="1" name="Chart 2"/>
        <xdr:cNvGraphicFramePr/>
      </xdr:nvGraphicFramePr>
      <xdr:xfrm>
        <a:off x="13298760" y="4114800"/>
        <a:ext cx="629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0</xdr:colOff>
      <xdr:row>38</xdr:row>
      <xdr:rowOff>0</xdr:rowOff>
    </xdr:from>
    <xdr:to>
      <xdr:col>19</xdr:col>
      <xdr:colOff>184680</xdr:colOff>
      <xdr:row>50</xdr:row>
      <xdr:rowOff>53640</xdr:rowOff>
    </xdr:to>
    <xdr:graphicFrame>
      <xdr:nvGraphicFramePr>
        <xdr:cNvPr id="2" name="Chart 3"/>
        <xdr:cNvGraphicFramePr/>
      </xdr:nvGraphicFramePr>
      <xdr:xfrm>
        <a:off x="13298760" y="7353360"/>
        <a:ext cx="6299640" cy="233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100"/>
  </cols>
  <sheetData>
    <row r="2" customFormat="false" ht="30" hidden="false" customHeight="true" outlineLevel="0" collapsed="false">
      <c r="B2" s="1" t="s">
        <v>0</v>
      </c>
    </row>
    <row r="3" customFormat="false" ht="16.15" hidden="false" customHeight="false" outlineLevel="0" collapsed="false">
      <c r="B3" s="2" t="s">
        <v>1</v>
      </c>
    </row>
    <row r="5" customFormat="false" ht="15" hidden="false" customHeight="false" outlineLevel="0" collapsed="false">
      <c r="B5" s="3" t="s">
        <v>2</v>
      </c>
      <c r="C5" s="4" t="s">
        <v>3</v>
      </c>
    </row>
    <row r="6" customFormat="false" ht="15" hidden="false" customHeight="false" outlineLevel="0" collapsed="false">
      <c r="B6" s="3" t="s">
        <v>4</v>
      </c>
      <c r="C6" s="4" t="s">
        <v>5</v>
      </c>
    </row>
    <row r="7" customFormat="false" ht="15" hidden="false" customHeight="false" outlineLevel="0" collapsed="false">
      <c r="B7" s="3" t="s">
        <v>6</v>
      </c>
      <c r="C7" s="4" t="s">
        <v>7</v>
      </c>
    </row>
    <row r="9" customFormat="false" ht="15" hidden="false" customHeight="false" outlineLevel="0" collapsed="false">
      <c r="B9" s="5" t="s">
        <v>8</v>
      </c>
      <c r="C9" s="5"/>
    </row>
    <row r="10" customFormat="false" ht="55.5" hidden="false" customHeight="true" outlineLevel="0" collapsed="false">
      <c r="B10" s="6" t="s">
        <v>9</v>
      </c>
      <c r="C10" s="6"/>
    </row>
    <row r="11" customFormat="false" ht="30" hidden="false" customHeight="true" outlineLevel="0" collapsed="false">
      <c r="B11" s="7" t="s">
        <v>10</v>
      </c>
      <c r="C11" s="7"/>
    </row>
    <row r="13" customFormat="false" ht="15" hidden="false" customHeight="false" outlineLevel="0" collapsed="false">
      <c r="B13" s="5" t="s">
        <v>11</v>
      </c>
      <c r="C13" s="5"/>
    </row>
    <row r="14" customFormat="false" ht="13.5" hidden="false" customHeight="true" outlineLevel="0" collapsed="false">
      <c r="B14" s="8" t="s">
        <v>12</v>
      </c>
      <c r="C14" s="9" t="s">
        <v>13</v>
      </c>
    </row>
    <row r="15" customFormat="false" ht="13.5" hidden="false" customHeight="true" outlineLevel="0" collapsed="false">
      <c r="B15" s="8" t="s">
        <v>14</v>
      </c>
      <c r="C15" s="9" t="s">
        <v>15</v>
      </c>
    </row>
    <row r="16" customFormat="false" ht="27" hidden="false" customHeight="true" outlineLevel="0" collapsed="false">
      <c r="B16" s="8" t="s">
        <v>16</v>
      </c>
      <c r="C16" s="9" t="s">
        <v>17</v>
      </c>
    </row>
    <row r="17" customFormat="false" ht="27" hidden="false" customHeight="true" outlineLevel="0" collapsed="false">
      <c r="B17" s="8" t="s">
        <v>18</v>
      </c>
      <c r="C17" s="9" t="s">
        <v>19</v>
      </c>
    </row>
    <row r="19" customFormat="false" ht="15" hidden="false" customHeight="false" outlineLevel="0" collapsed="false">
      <c r="B19" s="5" t="s">
        <v>20</v>
      </c>
      <c r="C19" s="5"/>
    </row>
    <row r="20" customFormat="false" ht="13.5" hidden="false" customHeight="true" outlineLevel="0" collapsed="false">
      <c r="B20" s="8" t="s">
        <v>21</v>
      </c>
      <c r="C20" s="9" t="s">
        <v>22</v>
      </c>
    </row>
    <row r="21" customFormat="false" ht="13.5" hidden="false" customHeight="true" outlineLevel="0" collapsed="false">
      <c r="B21" s="8" t="s">
        <v>23</v>
      </c>
      <c r="C21" s="9" t="s">
        <v>24</v>
      </c>
    </row>
    <row r="22" customFormat="false" ht="13.5" hidden="false" customHeight="true" outlineLevel="0" collapsed="false">
      <c r="B22" s="8" t="s">
        <v>25</v>
      </c>
      <c r="C22" s="9" t="s">
        <v>26</v>
      </c>
    </row>
    <row r="23" customFormat="false" ht="13.5" hidden="false" customHeight="true" outlineLevel="0" collapsed="false">
      <c r="B23" s="8" t="s">
        <v>27</v>
      </c>
      <c r="C23" s="9" t="s">
        <v>28</v>
      </c>
    </row>
    <row r="24" customFormat="false" ht="13.5" hidden="false" customHeight="true" outlineLevel="0" collapsed="false">
      <c r="B24" s="8" t="s">
        <v>29</v>
      </c>
      <c r="C24" s="9" t="s">
        <v>30</v>
      </c>
    </row>
    <row r="26" customFormat="false" ht="15" hidden="false" customHeight="false" outlineLevel="0" collapsed="false">
      <c r="B26" s="5" t="s">
        <v>31</v>
      </c>
      <c r="C26" s="5"/>
    </row>
    <row r="27" customFormat="false" ht="15" hidden="false" customHeight="false" outlineLevel="0" collapsed="false">
      <c r="B27" s="10" t="s">
        <v>32</v>
      </c>
      <c r="C27" s="4" t="s">
        <v>33</v>
      </c>
    </row>
    <row r="28" customFormat="false" ht="15" hidden="false" customHeight="false" outlineLevel="0" collapsed="false">
      <c r="B28" s="11" t="s">
        <v>32</v>
      </c>
      <c r="C28" s="4" t="s">
        <v>34</v>
      </c>
    </row>
    <row r="29" customFormat="false" ht="15" hidden="false" customHeight="false" outlineLevel="0" collapsed="false">
      <c r="B29" s="12" t="s">
        <v>32</v>
      </c>
      <c r="C29" s="4" t="s">
        <v>35</v>
      </c>
    </row>
    <row r="30" customFormat="false" ht="15" hidden="false" customHeight="false" outlineLevel="0" collapsed="false">
      <c r="B30" s="13" t="s">
        <v>36</v>
      </c>
      <c r="C30" s="4" t="s">
        <v>37</v>
      </c>
    </row>
    <row r="32" customFormat="false" ht="15" hidden="false" customHeight="false" outlineLevel="0" collapsed="false">
      <c r="B32" s="5" t="s">
        <v>38</v>
      </c>
      <c r="C32" s="5"/>
    </row>
    <row r="33" customFormat="false" ht="13.5" hidden="false" customHeight="true" outlineLevel="0" collapsed="false">
      <c r="B33" s="14" t="s">
        <v>39</v>
      </c>
      <c r="C33" s="9" t="s">
        <v>40</v>
      </c>
    </row>
    <row r="34" customFormat="false" ht="13.5" hidden="false" customHeight="true" outlineLevel="0" collapsed="false">
      <c r="B34" s="14" t="s">
        <v>39</v>
      </c>
      <c r="C34" s="9" t="s">
        <v>41</v>
      </c>
    </row>
    <row r="35" customFormat="false" ht="13.5" hidden="false" customHeight="true" outlineLevel="0" collapsed="false">
      <c r="B35" s="14" t="s">
        <v>39</v>
      </c>
      <c r="C35" s="9" t="s">
        <v>42</v>
      </c>
    </row>
    <row r="36" customFormat="false" ht="13.5" hidden="false" customHeight="true" outlineLevel="0" collapsed="false">
      <c r="B36" s="14" t="s">
        <v>39</v>
      </c>
      <c r="C36" s="9" t="s">
        <v>43</v>
      </c>
    </row>
    <row r="37" customFormat="false" ht="27" hidden="false" customHeight="true" outlineLevel="0" collapsed="false">
      <c r="B37" s="14" t="s">
        <v>39</v>
      </c>
      <c r="C37" s="9" t="s">
        <v>44</v>
      </c>
    </row>
    <row r="38" customFormat="false" ht="13.5" hidden="false" customHeight="true" outlineLevel="0" collapsed="false">
      <c r="B38" s="14" t="s">
        <v>39</v>
      </c>
      <c r="C38" s="9" t="s">
        <v>45</v>
      </c>
    </row>
    <row r="40" customFormat="false" ht="39.75" hidden="false" customHeight="true" outlineLevel="0" collapsed="false">
      <c r="B40" s="15" t="s">
        <v>46</v>
      </c>
      <c r="C40" s="15"/>
    </row>
  </sheetData>
  <mergeCells count="3">
    <mergeCell ref="B10:C10"/>
    <mergeCell ref="B11:C11"/>
    <mergeCell ref="B40:C40"/>
  </mergeCells>
  <printOptions headings="false" gridLines="false" gridLinesSet="true" horizontalCentered="tru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16"/>
    <col collapsed="false" customWidth="true" hidden="false" outlineLevel="0" max="4" min="4" style="0" width="14"/>
    <col collapsed="false" customWidth="true" hidden="false" outlineLevel="0" max="5" min="5" style="0" width="100"/>
  </cols>
  <sheetData>
    <row r="1" customFormat="false" ht="24" hidden="false" customHeight="true" outlineLevel="0" collapsed="false">
      <c r="B1" s="16" t="s">
        <v>47</v>
      </c>
    </row>
    <row r="2" customFormat="false" ht="15" hidden="false" customHeight="false" outlineLevel="0" collapsed="false">
      <c r="B2" s="17" t="s">
        <v>48</v>
      </c>
    </row>
    <row r="3" customFormat="false" ht="15" hidden="false" customHeight="false" outlineLevel="0" collapsed="false">
      <c r="B3" s="18" t="s">
        <v>49</v>
      </c>
    </row>
    <row r="5" customFormat="false" ht="15" hidden="false" customHeight="false" outlineLevel="0" collapsed="false">
      <c r="B5" s="19" t="s">
        <v>50</v>
      </c>
      <c r="C5" s="20" t="s">
        <v>51</v>
      </c>
      <c r="D5" s="19" t="s">
        <v>52</v>
      </c>
      <c r="E5" s="19" t="s">
        <v>53</v>
      </c>
    </row>
    <row r="6" customFormat="false" ht="15" hidden="false" customHeight="false" outlineLevel="0" collapsed="false">
      <c r="B6" s="21" t="s">
        <v>54</v>
      </c>
      <c r="C6" s="21"/>
      <c r="D6" s="21"/>
      <c r="E6" s="21"/>
    </row>
    <row r="7" customFormat="false" ht="15" hidden="false" customHeight="false" outlineLevel="0" collapsed="false">
      <c r="B7" s="4" t="s">
        <v>55</v>
      </c>
      <c r="C7" s="22" t="n">
        <v>3500000</v>
      </c>
      <c r="D7" s="23" t="s">
        <v>56</v>
      </c>
      <c r="E7" s="24" t="s">
        <v>57</v>
      </c>
    </row>
    <row r="8" customFormat="false" ht="15" hidden="false" customHeight="false" outlineLevel="0" collapsed="false">
      <c r="B8" s="4" t="s">
        <v>58</v>
      </c>
      <c r="C8" s="25" t="n">
        <v>450000</v>
      </c>
      <c r="D8" s="23" t="s">
        <v>59</v>
      </c>
      <c r="E8" s="24" t="s">
        <v>60</v>
      </c>
    </row>
    <row r="9" customFormat="false" ht="15" hidden="false" customHeight="false" outlineLevel="0" collapsed="false">
      <c r="B9" s="4" t="s">
        <v>61</v>
      </c>
      <c r="C9" s="26" t="n">
        <v>10</v>
      </c>
      <c r="D9" s="23" t="s">
        <v>62</v>
      </c>
      <c r="E9" s="24" t="s">
        <v>63</v>
      </c>
    </row>
    <row r="11" customFormat="false" ht="15" hidden="false" customHeight="false" outlineLevel="0" collapsed="false">
      <c r="B11" s="21" t="s">
        <v>64</v>
      </c>
      <c r="C11" s="21"/>
      <c r="D11" s="21"/>
      <c r="E11" s="21"/>
    </row>
    <row r="12" customFormat="false" ht="15" hidden="false" customHeight="false" outlineLevel="0" collapsed="false">
      <c r="B12" s="4" t="s">
        <v>65</v>
      </c>
      <c r="C12" s="27" t="n">
        <v>2.2</v>
      </c>
      <c r="D12" s="23" t="s">
        <v>66</v>
      </c>
      <c r="E12" s="24" t="s">
        <v>67</v>
      </c>
    </row>
    <row r="13" customFormat="false" ht="15" hidden="false" customHeight="false" outlineLevel="0" collapsed="false">
      <c r="B13" s="4" t="s">
        <v>68</v>
      </c>
      <c r="C13" s="28" t="n">
        <v>0.08</v>
      </c>
      <c r="D13" s="23" t="s">
        <v>69</v>
      </c>
      <c r="E13" s="24" t="s">
        <v>70</v>
      </c>
    </row>
    <row r="14" customFormat="false" ht="15" hidden="false" customHeight="false" outlineLevel="0" collapsed="false">
      <c r="B14" s="4" t="s">
        <v>71</v>
      </c>
      <c r="C14" s="22" t="n">
        <v>50000</v>
      </c>
      <c r="D14" s="23" t="s">
        <v>72</v>
      </c>
      <c r="E14" s="24" t="s">
        <v>73</v>
      </c>
    </row>
    <row r="15" customFormat="false" ht="15" hidden="false" customHeight="false" outlineLevel="0" collapsed="false">
      <c r="B15" s="4" t="s">
        <v>74</v>
      </c>
      <c r="C15" s="28" t="n">
        <v>0.05</v>
      </c>
      <c r="D15" s="23" t="s">
        <v>69</v>
      </c>
      <c r="E15" s="24" t="s">
        <v>75</v>
      </c>
    </row>
    <row r="17" customFormat="false" ht="15" hidden="false" customHeight="false" outlineLevel="0" collapsed="false">
      <c r="B17" s="21" t="s">
        <v>76</v>
      </c>
      <c r="C17" s="21"/>
      <c r="D17" s="21"/>
      <c r="E17" s="21"/>
    </row>
    <row r="18" customFormat="false" ht="15" hidden="false" customHeight="false" outlineLevel="0" collapsed="false">
      <c r="B18" s="4" t="s">
        <v>77</v>
      </c>
      <c r="C18" s="28" t="n">
        <v>0.27</v>
      </c>
      <c r="D18" s="23" t="s">
        <v>78</v>
      </c>
      <c r="E18" s="24" t="s">
        <v>79</v>
      </c>
    </row>
    <row r="19" customFormat="false" ht="15" hidden="false" customHeight="false" outlineLevel="0" collapsed="false">
      <c r="B19" s="4" t="s">
        <v>80</v>
      </c>
      <c r="C19" s="26" t="n">
        <v>5</v>
      </c>
      <c r="D19" s="23" t="s">
        <v>62</v>
      </c>
      <c r="E19" s="24" t="s">
        <v>81</v>
      </c>
    </row>
    <row r="20" customFormat="false" ht="15" hidden="false" customHeight="false" outlineLevel="0" collapsed="false">
      <c r="B20" s="4" t="s">
        <v>82</v>
      </c>
      <c r="C20" s="27" t="n">
        <v>0.95</v>
      </c>
      <c r="D20" s="23" t="s">
        <v>66</v>
      </c>
      <c r="E20" s="24" t="s">
        <v>83</v>
      </c>
    </row>
    <row r="21" customFormat="false" ht="15" hidden="false" customHeight="false" outlineLevel="0" collapsed="false">
      <c r="B21" s="4" t="s">
        <v>84</v>
      </c>
      <c r="C21" s="26" t="n">
        <v>1</v>
      </c>
      <c r="D21" s="23" t="s">
        <v>62</v>
      </c>
      <c r="E21" s="24" t="s">
        <v>85</v>
      </c>
    </row>
    <row r="23" customFormat="false" ht="15" hidden="false" customHeight="false" outlineLevel="0" collapsed="false">
      <c r="B23" s="21" t="s">
        <v>86</v>
      </c>
      <c r="C23" s="21"/>
      <c r="D23" s="21"/>
      <c r="E23" s="21"/>
    </row>
    <row r="24" customFormat="false" ht="15" hidden="false" customHeight="false" outlineLevel="0" collapsed="false">
      <c r="B24" s="4" t="s">
        <v>87</v>
      </c>
      <c r="C24" s="28" t="n">
        <v>0.12</v>
      </c>
      <c r="D24" s="23" t="s">
        <v>78</v>
      </c>
      <c r="E24" s="24" t="s">
        <v>88</v>
      </c>
    </row>
    <row r="26" customFormat="false" ht="15" hidden="false" customHeight="false" outlineLevel="0" collapsed="false">
      <c r="B26" s="21" t="s">
        <v>89</v>
      </c>
      <c r="C26" s="21"/>
      <c r="D26" s="21"/>
      <c r="E26" s="21"/>
    </row>
    <row r="27" customFormat="false" ht="15" hidden="false" customHeight="false" outlineLevel="0" collapsed="false">
      <c r="B27" s="4" t="s">
        <v>90</v>
      </c>
      <c r="C27" s="29" t="n">
        <f aca="false">Energy_Saved_kWh*Tariff_Y1</f>
        <v>990000</v>
      </c>
      <c r="D27" s="23" t="s">
        <v>56</v>
      </c>
      <c r="E27" s="24" t="s">
        <v>91</v>
      </c>
    </row>
    <row r="28" customFormat="false" ht="15" hidden="false" customHeight="false" outlineLevel="0" collapsed="false">
      <c r="B28" s="4" t="s">
        <v>92</v>
      </c>
      <c r="C28" s="29" t="n">
        <f aca="false">Gross_Saving_Y1-Maint_Y1</f>
        <v>940000</v>
      </c>
      <c r="D28" s="23" t="s">
        <v>56</v>
      </c>
      <c r="E28" s="24" t="s">
        <v>93</v>
      </c>
    </row>
    <row r="29" customFormat="false" ht="15" hidden="false" customHeight="false" outlineLevel="0" collapsed="false">
      <c r="B29" s="4" t="s">
        <v>94</v>
      </c>
      <c r="C29" s="29" t="n">
        <f aca="false">EE_Capex/Dep_Years</f>
        <v>700000</v>
      </c>
      <c r="D29" s="23" t="s">
        <v>72</v>
      </c>
      <c r="E29" s="24" t="s">
        <v>95</v>
      </c>
    </row>
    <row r="30" customFormat="false" ht="15" hidden="false" customHeight="false" outlineLevel="0" collapsed="false">
      <c r="B30" s="4" t="s">
        <v>96</v>
      </c>
      <c r="C30" s="29" t="n">
        <f aca="false">Allowance_12L_Rate*Energy_Saved_kWh</f>
        <v>427500</v>
      </c>
      <c r="D30" s="23" t="s">
        <v>56</v>
      </c>
      <c r="E30" s="24" t="s">
        <v>97</v>
      </c>
    </row>
    <row r="31" customFormat="false" ht="15" hidden="false" customHeight="false" outlineLevel="0" collapsed="false">
      <c r="B31" s="4" t="s">
        <v>98</v>
      </c>
      <c r="C31" s="30" t="n">
        <f aca="false">Allowance_12L_Rate*Tax_Rate</f>
        <v>0.2565</v>
      </c>
      <c r="D31" s="23" t="s">
        <v>66</v>
      </c>
      <c r="E31" s="24" t="s">
        <v>99</v>
      </c>
    </row>
    <row r="33" customFormat="false" ht="15" hidden="false" customHeight="false" outlineLevel="0" collapsed="false">
      <c r="B33" s="24" t="s">
        <v>100</v>
      </c>
    </row>
  </sheetData>
  <dataValidations count="3">
    <dataValidation allowBlank="false" error="Enter whole years between 1 and 15." errorStyle="stop" errorTitle="Life" operator="between" showDropDown="false" showErrorMessage="true" showInputMessage="false" sqref="C9 C19" type="whole">
      <formula1>1</formula1>
      <formula2>15</formula2>
    </dataValidation>
    <dataValidation allowBlank="false" error="Enter whole years between 0 and 15." errorStyle="stop" errorTitle="Years" operator="between" showDropDown="false" showErrorMessage="true" showInputMessage="false" sqref="C21" type="whole">
      <formula1>0</formula1>
      <formula2>15</formula2>
    </dataValidation>
    <dataValidation allowBlank="false" error="Enter a value between 0% and 100%." errorStyle="stop" errorTitle="Percentage" operator="between" showDropDown="false" showErrorMessage="true" showInputMessage="false" sqref="C18" type="decimal">
      <formula1>0</formula1>
      <formula2>1</formula2>
    </dataValidation>
  </dataValidation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T46"/>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4" ySplit="8" topLeftCell="E9" activePane="bottomRight" state="frozen"/>
      <selection pane="topLeft" activeCell="A1" activeCellId="0" sqref="A1"/>
      <selection pane="topRight" activeCell="E1" activeCellId="0" sqref="E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9"/>
    <col collapsed="false" customWidth="true" hidden="false" outlineLevel="0" max="4" min="4" style="0" width="16"/>
    <col collapsed="false" customWidth="true" hidden="false" outlineLevel="0" max="20" min="5" style="0" width="13.5"/>
  </cols>
  <sheetData>
    <row r="1" customFormat="false" ht="24" hidden="false" customHeight="true" outlineLevel="0" collapsed="false">
      <c r="B1" s="16" t="s">
        <v>101</v>
      </c>
    </row>
    <row r="2" customFormat="false" ht="15" hidden="false" customHeight="false" outlineLevel="0" collapsed="false">
      <c r="B2" s="17" t="s">
        <v>102</v>
      </c>
    </row>
    <row r="3" customFormat="false" ht="15" hidden="false" customHeight="false" outlineLevel="0" collapsed="false">
      <c r="B3" s="18" t="s">
        <v>49</v>
      </c>
    </row>
    <row r="5" customFormat="false" ht="15" hidden="false" customHeight="false" outlineLevel="0" collapsed="false">
      <c r="B5" s="5" t="s">
        <v>103</v>
      </c>
      <c r="C5" s="5" t="s">
        <v>52</v>
      </c>
      <c r="D5" s="31" t="s">
        <v>104</v>
      </c>
      <c r="E5" s="32" t="n">
        <v>0</v>
      </c>
      <c r="F5" s="32" t="n">
        <f aca="false">E5+1</f>
        <v>1</v>
      </c>
      <c r="G5" s="32" t="n">
        <f aca="false">F5+1</f>
        <v>2</v>
      </c>
      <c r="H5" s="32" t="n">
        <f aca="false">G5+1</f>
        <v>3</v>
      </c>
      <c r="I5" s="32" t="n">
        <f aca="false">H5+1</f>
        <v>4</v>
      </c>
      <c r="J5" s="32" t="n">
        <f aca="false">I5+1</f>
        <v>5</v>
      </c>
      <c r="K5" s="32" t="n">
        <f aca="false">J5+1</f>
        <v>6</v>
      </c>
      <c r="L5" s="32" t="n">
        <f aca="false">K5+1</f>
        <v>7</v>
      </c>
      <c r="M5" s="32" t="n">
        <f aca="false">L5+1</f>
        <v>8</v>
      </c>
      <c r="N5" s="32" t="n">
        <f aca="false">M5+1</f>
        <v>9</v>
      </c>
      <c r="O5" s="32" t="n">
        <f aca="false">N5+1</f>
        <v>10</v>
      </c>
      <c r="P5" s="32" t="n">
        <f aca="false">O5+1</f>
        <v>11</v>
      </c>
      <c r="Q5" s="32" t="n">
        <f aca="false">P5+1</f>
        <v>12</v>
      </c>
      <c r="R5" s="32" t="n">
        <f aca="false">Q5+1</f>
        <v>13</v>
      </c>
      <c r="S5" s="32" t="n">
        <f aca="false">R5+1</f>
        <v>14</v>
      </c>
      <c r="T5" s="32" t="n">
        <f aca="false">S5+1</f>
        <v>15</v>
      </c>
    </row>
    <row r="6" customFormat="false" ht="15" hidden="false" customHeight="false" outlineLevel="0" collapsed="false">
      <c r="B6" s="4" t="s">
        <v>105</v>
      </c>
      <c r="C6" s="24" t="s">
        <v>106</v>
      </c>
      <c r="E6" s="33" t="n">
        <f aca="false">IF(AND(E$5&gt;=1,E$5&lt;=Project_Life),1,0)</f>
        <v>0</v>
      </c>
      <c r="F6" s="33" t="n">
        <f aca="false">IF(AND(F$5&gt;=1,F$5&lt;=Project_Life),1,0)</f>
        <v>1</v>
      </c>
      <c r="G6" s="33" t="n">
        <f aca="false">IF(AND(G$5&gt;=1,G$5&lt;=Project_Life),1,0)</f>
        <v>1</v>
      </c>
      <c r="H6" s="33" t="n">
        <f aca="false">IF(AND(H$5&gt;=1,H$5&lt;=Project_Life),1,0)</f>
        <v>1</v>
      </c>
      <c r="I6" s="33" t="n">
        <f aca="false">IF(AND(I$5&gt;=1,I$5&lt;=Project_Life),1,0)</f>
        <v>1</v>
      </c>
      <c r="J6" s="33" t="n">
        <f aca="false">IF(AND(J$5&gt;=1,J$5&lt;=Project_Life),1,0)</f>
        <v>1</v>
      </c>
      <c r="K6" s="33" t="n">
        <f aca="false">IF(AND(K$5&gt;=1,K$5&lt;=Project_Life),1,0)</f>
        <v>1</v>
      </c>
      <c r="L6" s="33" t="n">
        <f aca="false">IF(AND(L$5&gt;=1,L$5&lt;=Project_Life),1,0)</f>
        <v>1</v>
      </c>
      <c r="M6" s="33" t="n">
        <f aca="false">IF(AND(M$5&gt;=1,M$5&lt;=Project_Life),1,0)</f>
        <v>1</v>
      </c>
      <c r="N6" s="33" t="n">
        <f aca="false">IF(AND(N$5&gt;=1,N$5&lt;=Project_Life),1,0)</f>
        <v>1</v>
      </c>
      <c r="O6" s="33" t="n">
        <f aca="false">IF(AND(O$5&gt;=1,O$5&lt;=Project_Life),1,0)</f>
        <v>1</v>
      </c>
      <c r="P6" s="33" t="n">
        <f aca="false">IF(AND(P$5&gt;=1,P$5&lt;=Project_Life),1,0)</f>
        <v>0</v>
      </c>
      <c r="Q6" s="33" t="n">
        <f aca="false">IF(AND(Q$5&gt;=1,Q$5&lt;=Project_Life),1,0)</f>
        <v>0</v>
      </c>
      <c r="R6" s="33" t="n">
        <f aca="false">IF(AND(R$5&gt;=1,R$5&lt;=Project_Life),1,0)</f>
        <v>0</v>
      </c>
      <c r="S6" s="33" t="n">
        <f aca="false">IF(AND(S$5&gt;=1,S$5&lt;=Project_Life),1,0)</f>
        <v>0</v>
      </c>
      <c r="T6" s="33" t="n">
        <f aca="false">IF(AND(T$5&gt;=1,T$5&lt;=Project_Life),1,0)</f>
        <v>0</v>
      </c>
    </row>
    <row r="7" customFormat="false" ht="15" hidden="false" customHeight="false" outlineLevel="0" collapsed="false">
      <c r="B7" s="4" t="s">
        <v>107</v>
      </c>
      <c r="C7" s="24" t="s">
        <v>106</v>
      </c>
      <c r="E7" s="33" t="n">
        <f aca="false">IF(AND(E$5&gt;=1,E$5&lt;=Dep_Years,E$5&lt;=Project_Life),1,0)</f>
        <v>0</v>
      </c>
      <c r="F7" s="33" t="n">
        <f aca="false">IF(AND(F$5&gt;=1,F$5&lt;=Dep_Years,F$5&lt;=Project_Life),1,0)</f>
        <v>1</v>
      </c>
      <c r="G7" s="33" t="n">
        <f aca="false">IF(AND(G$5&gt;=1,G$5&lt;=Dep_Years,G$5&lt;=Project_Life),1,0)</f>
        <v>1</v>
      </c>
      <c r="H7" s="33" t="n">
        <f aca="false">IF(AND(H$5&gt;=1,H$5&lt;=Dep_Years,H$5&lt;=Project_Life),1,0)</f>
        <v>1</v>
      </c>
      <c r="I7" s="33" t="n">
        <f aca="false">IF(AND(I$5&gt;=1,I$5&lt;=Dep_Years,I$5&lt;=Project_Life),1,0)</f>
        <v>1</v>
      </c>
      <c r="J7" s="33" t="n">
        <f aca="false">IF(AND(J$5&gt;=1,J$5&lt;=Dep_Years,J$5&lt;=Project_Life),1,0)</f>
        <v>1</v>
      </c>
      <c r="K7" s="33" t="n">
        <f aca="false">IF(AND(K$5&gt;=1,K$5&lt;=Dep_Years,K$5&lt;=Project_Life),1,0)</f>
        <v>0</v>
      </c>
      <c r="L7" s="33" t="n">
        <f aca="false">IF(AND(L$5&gt;=1,L$5&lt;=Dep_Years,L$5&lt;=Project_Life),1,0)</f>
        <v>0</v>
      </c>
      <c r="M7" s="33" t="n">
        <f aca="false">IF(AND(M$5&gt;=1,M$5&lt;=Dep_Years,M$5&lt;=Project_Life),1,0)</f>
        <v>0</v>
      </c>
      <c r="N7" s="33" t="n">
        <f aca="false">IF(AND(N$5&gt;=1,N$5&lt;=Dep_Years,N$5&lt;=Project_Life),1,0)</f>
        <v>0</v>
      </c>
      <c r="O7" s="33" t="n">
        <f aca="false">IF(AND(O$5&gt;=1,O$5&lt;=Dep_Years,O$5&lt;=Project_Life),1,0)</f>
        <v>0</v>
      </c>
      <c r="P7" s="33" t="n">
        <f aca="false">IF(AND(P$5&gt;=1,P$5&lt;=Dep_Years,P$5&lt;=Project_Life),1,0)</f>
        <v>0</v>
      </c>
      <c r="Q7" s="33" t="n">
        <f aca="false">IF(AND(Q$5&gt;=1,Q$5&lt;=Dep_Years,Q$5&lt;=Project_Life),1,0)</f>
        <v>0</v>
      </c>
      <c r="R7" s="33" t="n">
        <f aca="false">IF(AND(R$5&gt;=1,R$5&lt;=Dep_Years,R$5&lt;=Project_Life),1,0)</f>
        <v>0</v>
      </c>
      <c r="S7" s="33" t="n">
        <f aca="false">IF(AND(S$5&gt;=1,S$5&lt;=Dep_Years,S$5&lt;=Project_Life),1,0)</f>
        <v>0</v>
      </c>
      <c r="T7" s="33" t="n">
        <f aca="false">IF(AND(T$5&gt;=1,T$5&lt;=Dep_Years,T$5&lt;=Project_Life),1,0)</f>
        <v>0</v>
      </c>
    </row>
    <row r="8" customFormat="false" ht="15" hidden="false" customHeight="false" outlineLevel="0" collapsed="false">
      <c r="B8" s="4" t="s">
        <v>108</v>
      </c>
      <c r="C8" s="24" t="s">
        <v>106</v>
      </c>
      <c r="E8" s="33" t="n">
        <f aca="false">IF(AND(E$5&gt;=1,E$5&lt;=Years_12L,E$5&lt;=Project_Life),1,0)</f>
        <v>0</v>
      </c>
      <c r="F8" s="33" t="n">
        <f aca="false">IF(AND(F$5&gt;=1,F$5&lt;=Years_12L,F$5&lt;=Project_Life),1,0)</f>
        <v>1</v>
      </c>
      <c r="G8" s="33" t="n">
        <f aca="false">IF(AND(G$5&gt;=1,G$5&lt;=Years_12L,G$5&lt;=Project_Life),1,0)</f>
        <v>0</v>
      </c>
      <c r="H8" s="33" t="n">
        <f aca="false">IF(AND(H$5&gt;=1,H$5&lt;=Years_12L,H$5&lt;=Project_Life),1,0)</f>
        <v>0</v>
      </c>
      <c r="I8" s="33" t="n">
        <f aca="false">IF(AND(I$5&gt;=1,I$5&lt;=Years_12L,I$5&lt;=Project_Life),1,0)</f>
        <v>0</v>
      </c>
      <c r="J8" s="33" t="n">
        <f aca="false">IF(AND(J$5&gt;=1,J$5&lt;=Years_12L,J$5&lt;=Project_Life),1,0)</f>
        <v>0</v>
      </c>
      <c r="K8" s="33" t="n">
        <f aca="false">IF(AND(K$5&gt;=1,K$5&lt;=Years_12L,K$5&lt;=Project_Life),1,0)</f>
        <v>0</v>
      </c>
      <c r="L8" s="33" t="n">
        <f aca="false">IF(AND(L$5&gt;=1,L$5&lt;=Years_12L,L$5&lt;=Project_Life),1,0)</f>
        <v>0</v>
      </c>
      <c r="M8" s="33" t="n">
        <f aca="false">IF(AND(M$5&gt;=1,M$5&lt;=Years_12L,M$5&lt;=Project_Life),1,0)</f>
        <v>0</v>
      </c>
      <c r="N8" s="33" t="n">
        <f aca="false">IF(AND(N$5&gt;=1,N$5&lt;=Years_12L,N$5&lt;=Project_Life),1,0)</f>
        <v>0</v>
      </c>
      <c r="O8" s="33" t="n">
        <f aca="false">IF(AND(O$5&gt;=1,O$5&lt;=Years_12L,O$5&lt;=Project_Life),1,0)</f>
        <v>0</v>
      </c>
      <c r="P8" s="33" t="n">
        <f aca="false">IF(AND(P$5&gt;=1,P$5&lt;=Years_12L,P$5&lt;=Project_Life),1,0)</f>
        <v>0</v>
      </c>
      <c r="Q8" s="33" t="n">
        <f aca="false">IF(AND(Q$5&gt;=1,Q$5&lt;=Years_12L,Q$5&lt;=Project_Life),1,0)</f>
        <v>0</v>
      </c>
      <c r="R8" s="33" t="n">
        <f aca="false">IF(AND(R$5&gt;=1,R$5&lt;=Years_12L,R$5&lt;=Project_Life),1,0)</f>
        <v>0</v>
      </c>
      <c r="S8" s="33" t="n">
        <f aca="false">IF(AND(S$5&gt;=1,S$5&lt;=Years_12L,S$5&lt;=Project_Life),1,0)</f>
        <v>0</v>
      </c>
      <c r="T8" s="33" t="n">
        <f aca="false">IF(AND(T$5&gt;=1,T$5&lt;=Years_12L,T$5&lt;=Project_Life),1,0)</f>
        <v>0</v>
      </c>
    </row>
    <row r="10" customFormat="false" ht="15" hidden="false" customHeight="false" outlineLevel="0" collapsed="false">
      <c r="B10" s="21" t="s">
        <v>109</v>
      </c>
      <c r="C10" s="21"/>
      <c r="D10" s="21"/>
      <c r="E10" s="21"/>
      <c r="F10" s="21"/>
      <c r="G10" s="21"/>
      <c r="H10" s="21"/>
      <c r="I10" s="21"/>
      <c r="J10" s="21"/>
      <c r="K10" s="21"/>
      <c r="L10" s="21"/>
      <c r="M10" s="21"/>
      <c r="N10" s="21"/>
      <c r="O10" s="21"/>
      <c r="P10" s="21"/>
      <c r="Q10" s="21"/>
      <c r="R10" s="21"/>
      <c r="S10" s="21"/>
      <c r="T10" s="21"/>
    </row>
    <row r="11" customFormat="false" ht="15" hidden="false" customHeight="false" outlineLevel="0" collapsed="false">
      <c r="B11" s="4" t="s">
        <v>110</v>
      </c>
      <c r="C11" s="24" t="s">
        <v>111</v>
      </c>
      <c r="D11" s="34" t="n">
        <f aca="false">SUM(E11:T11)</f>
        <v>4500000</v>
      </c>
      <c r="F11" s="35" t="n">
        <f aca="false">Energy_Saved_kWh*F$6</f>
        <v>450000</v>
      </c>
      <c r="G11" s="35" t="n">
        <f aca="false">Energy_Saved_kWh*G$6</f>
        <v>450000</v>
      </c>
      <c r="H11" s="35" t="n">
        <f aca="false">Energy_Saved_kWh*H$6</f>
        <v>450000</v>
      </c>
      <c r="I11" s="35" t="n">
        <f aca="false">Energy_Saved_kWh*I$6</f>
        <v>450000</v>
      </c>
      <c r="J11" s="35" t="n">
        <f aca="false">Energy_Saved_kWh*J$6</f>
        <v>450000</v>
      </c>
      <c r="K11" s="35" t="n">
        <f aca="false">Energy_Saved_kWh*K$6</f>
        <v>450000</v>
      </c>
      <c r="L11" s="35" t="n">
        <f aca="false">Energy_Saved_kWh*L$6</f>
        <v>450000</v>
      </c>
      <c r="M11" s="35" t="n">
        <f aca="false">Energy_Saved_kWh*M$6</f>
        <v>450000</v>
      </c>
      <c r="N11" s="35" t="n">
        <f aca="false">Energy_Saved_kWh*N$6</f>
        <v>450000</v>
      </c>
      <c r="O11" s="35" t="n">
        <f aca="false">Energy_Saved_kWh*O$6</f>
        <v>450000</v>
      </c>
      <c r="P11" s="35" t="n">
        <f aca="false">Energy_Saved_kWh*P$6</f>
        <v>0</v>
      </c>
      <c r="Q11" s="35" t="n">
        <f aca="false">Energy_Saved_kWh*Q$6</f>
        <v>0</v>
      </c>
      <c r="R11" s="35" t="n">
        <f aca="false">Energy_Saved_kWh*R$6</f>
        <v>0</v>
      </c>
      <c r="S11" s="35" t="n">
        <f aca="false">Energy_Saved_kWh*S$6</f>
        <v>0</v>
      </c>
      <c r="T11" s="35" t="n">
        <f aca="false">Energy_Saved_kWh*T$6</f>
        <v>0</v>
      </c>
    </row>
    <row r="12" customFormat="false" ht="15" hidden="false" customHeight="false" outlineLevel="0" collapsed="false">
      <c r="B12" s="4" t="s">
        <v>112</v>
      </c>
      <c r="C12" s="24" t="s">
        <v>66</v>
      </c>
      <c r="F12" s="36" t="n">
        <f aca="false">Tariff_Y1*(1+Tariff_Escalation)^(F$5-1)*F$6</f>
        <v>2.2</v>
      </c>
      <c r="G12" s="36" t="n">
        <f aca="false">Tariff_Y1*(1+Tariff_Escalation)^(G$5-1)*G$6</f>
        <v>2.376</v>
      </c>
      <c r="H12" s="36" t="n">
        <f aca="false">Tariff_Y1*(1+Tariff_Escalation)^(H$5-1)*H$6</f>
        <v>2.56608</v>
      </c>
      <c r="I12" s="36" t="n">
        <f aca="false">Tariff_Y1*(1+Tariff_Escalation)^(I$5-1)*I$6</f>
        <v>2.7713664</v>
      </c>
      <c r="J12" s="36" t="n">
        <f aca="false">Tariff_Y1*(1+Tariff_Escalation)^(J$5-1)*J$6</f>
        <v>2.993075712</v>
      </c>
      <c r="K12" s="36" t="n">
        <f aca="false">Tariff_Y1*(1+Tariff_Escalation)^(K$5-1)*K$6</f>
        <v>3.23252176896</v>
      </c>
      <c r="L12" s="36" t="n">
        <f aca="false">Tariff_Y1*(1+Tariff_Escalation)^(L$5-1)*L$6</f>
        <v>3.4911235104768</v>
      </c>
      <c r="M12" s="36" t="n">
        <f aca="false">Tariff_Y1*(1+Tariff_Escalation)^(M$5-1)*M$6</f>
        <v>3.77041339131495</v>
      </c>
      <c r="N12" s="36" t="n">
        <f aca="false">Tariff_Y1*(1+Tariff_Escalation)^(N$5-1)*N$6</f>
        <v>4.07204646262014</v>
      </c>
      <c r="O12" s="36" t="n">
        <f aca="false">Tariff_Y1*(1+Tariff_Escalation)^(O$5-1)*O$6</f>
        <v>4.39781017962975</v>
      </c>
      <c r="P12" s="36" t="n">
        <f aca="false">Tariff_Y1*(1+Tariff_Escalation)^(P$5-1)*P$6</f>
        <v>0</v>
      </c>
      <c r="Q12" s="36" t="n">
        <f aca="false">Tariff_Y1*(1+Tariff_Escalation)^(Q$5-1)*Q$6</f>
        <v>0</v>
      </c>
      <c r="R12" s="36" t="n">
        <f aca="false">Tariff_Y1*(1+Tariff_Escalation)^(R$5-1)*R$6</f>
        <v>0</v>
      </c>
      <c r="S12" s="36" t="n">
        <f aca="false">Tariff_Y1*(1+Tariff_Escalation)^(S$5-1)*S$6</f>
        <v>0</v>
      </c>
      <c r="T12" s="36" t="n">
        <f aca="false">Tariff_Y1*(1+Tariff_Escalation)^(T$5-1)*T$6</f>
        <v>0</v>
      </c>
    </row>
    <row r="13" customFormat="false" ht="15" hidden="false" customHeight="false" outlineLevel="0" collapsed="false">
      <c r="B13" s="4" t="s">
        <v>113</v>
      </c>
      <c r="C13" s="24" t="s">
        <v>56</v>
      </c>
      <c r="D13" s="37" t="n">
        <f aca="false">SUM(E13:T13)</f>
        <v>14341696.8412507</v>
      </c>
      <c r="F13" s="38" t="n">
        <f aca="false">F11*F12</f>
        <v>990000</v>
      </c>
      <c r="G13" s="38" t="n">
        <f aca="false">G11*G12</f>
        <v>1069200</v>
      </c>
      <c r="H13" s="38" t="n">
        <f aca="false">H11*H12</f>
        <v>1154736</v>
      </c>
      <c r="I13" s="38" t="n">
        <f aca="false">I11*I12</f>
        <v>1247114.88</v>
      </c>
      <c r="J13" s="38" t="n">
        <f aca="false">J11*J12</f>
        <v>1346884.0704</v>
      </c>
      <c r="K13" s="38" t="n">
        <f aca="false">K11*K12</f>
        <v>1454634.796032</v>
      </c>
      <c r="L13" s="38" t="n">
        <f aca="false">L11*L12</f>
        <v>1571005.57971456</v>
      </c>
      <c r="M13" s="38" t="n">
        <f aca="false">M11*M12</f>
        <v>1696686.02609173</v>
      </c>
      <c r="N13" s="38" t="n">
        <f aca="false">N11*N12</f>
        <v>1832420.90817906</v>
      </c>
      <c r="O13" s="38" t="n">
        <f aca="false">O11*O12</f>
        <v>1979014.58083339</v>
      </c>
      <c r="P13" s="38" t="n">
        <f aca="false">P11*P12</f>
        <v>0</v>
      </c>
      <c r="Q13" s="38" t="n">
        <f aca="false">Q11*Q12</f>
        <v>0</v>
      </c>
      <c r="R13" s="38" t="n">
        <f aca="false">R11*R12</f>
        <v>0</v>
      </c>
      <c r="S13" s="38" t="n">
        <f aca="false">S11*S12</f>
        <v>0</v>
      </c>
      <c r="T13" s="38" t="n">
        <f aca="false">T11*T12</f>
        <v>0</v>
      </c>
    </row>
    <row r="14" customFormat="false" ht="15" hidden="false" customHeight="false" outlineLevel="0" collapsed="false">
      <c r="B14" s="4" t="s">
        <v>114</v>
      </c>
      <c r="C14" s="24" t="s">
        <v>56</v>
      </c>
      <c r="D14" s="37" t="n">
        <f aca="false">SUM(E14:T14)</f>
        <v>628894.626777442</v>
      </c>
      <c r="F14" s="38" t="n">
        <f aca="false">Maint_Y1*(1+Maint_Escalation)^(F$5-1)*F$6</f>
        <v>50000</v>
      </c>
      <c r="G14" s="38" t="n">
        <f aca="false">Maint_Y1*(1+Maint_Escalation)^(G$5-1)*G$6</f>
        <v>52500</v>
      </c>
      <c r="H14" s="38" t="n">
        <f aca="false">Maint_Y1*(1+Maint_Escalation)^(H$5-1)*H$6</f>
        <v>55125</v>
      </c>
      <c r="I14" s="38" t="n">
        <f aca="false">Maint_Y1*(1+Maint_Escalation)^(I$5-1)*I$6</f>
        <v>57881.25</v>
      </c>
      <c r="J14" s="38" t="n">
        <f aca="false">Maint_Y1*(1+Maint_Escalation)^(J$5-1)*J$6</f>
        <v>60775.3125</v>
      </c>
      <c r="K14" s="38" t="n">
        <f aca="false">Maint_Y1*(1+Maint_Escalation)^(K$5-1)*K$6</f>
        <v>63814.078125</v>
      </c>
      <c r="L14" s="38" t="n">
        <f aca="false">Maint_Y1*(1+Maint_Escalation)^(L$5-1)*L$6</f>
        <v>67004.78203125</v>
      </c>
      <c r="M14" s="38" t="n">
        <f aca="false">Maint_Y1*(1+Maint_Escalation)^(M$5-1)*M$6</f>
        <v>70355.0211328125</v>
      </c>
      <c r="N14" s="38" t="n">
        <f aca="false">Maint_Y1*(1+Maint_Escalation)^(N$5-1)*N$6</f>
        <v>73872.7721894532</v>
      </c>
      <c r="O14" s="38" t="n">
        <f aca="false">Maint_Y1*(1+Maint_Escalation)^(O$5-1)*O$6</f>
        <v>77566.4107989258</v>
      </c>
      <c r="P14" s="38" t="n">
        <f aca="false">Maint_Y1*(1+Maint_Escalation)^(P$5-1)*P$6</f>
        <v>0</v>
      </c>
      <c r="Q14" s="38" t="n">
        <f aca="false">Maint_Y1*(1+Maint_Escalation)^(Q$5-1)*Q$6</f>
        <v>0</v>
      </c>
      <c r="R14" s="38" t="n">
        <f aca="false">Maint_Y1*(1+Maint_Escalation)^(R$5-1)*R$6</f>
        <v>0</v>
      </c>
      <c r="S14" s="38" t="n">
        <f aca="false">Maint_Y1*(1+Maint_Escalation)^(S$5-1)*S$6</f>
        <v>0</v>
      </c>
      <c r="T14" s="38" t="n">
        <f aca="false">Maint_Y1*(1+Maint_Escalation)^(T$5-1)*T$6</f>
        <v>0</v>
      </c>
    </row>
    <row r="15" customFormat="false" ht="15" hidden="false" customHeight="false" outlineLevel="0" collapsed="false">
      <c r="B15" s="39" t="s">
        <v>115</v>
      </c>
      <c r="C15" s="40" t="s">
        <v>56</v>
      </c>
      <c r="D15" s="41" t="n">
        <f aca="false">SUM(E15:T15)</f>
        <v>13712802.2144733</v>
      </c>
      <c r="F15" s="41" t="n">
        <f aca="false">F13-F14</f>
        <v>940000</v>
      </c>
      <c r="G15" s="41" t="n">
        <f aca="false">G13-G14</f>
        <v>1016700</v>
      </c>
      <c r="H15" s="41" t="n">
        <f aca="false">H13-H14</f>
        <v>1099611</v>
      </c>
      <c r="I15" s="41" t="n">
        <f aca="false">I13-I14</f>
        <v>1189233.63</v>
      </c>
      <c r="J15" s="41" t="n">
        <f aca="false">J13-J14</f>
        <v>1286108.7579</v>
      </c>
      <c r="K15" s="41" t="n">
        <f aca="false">K13-K14</f>
        <v>1390820.717907</v>
      </c>
      <c r="L15" s="41" t="n">
        <f aca="false">L13-L14</f>
        <v>1504000.79768331</v>
      </c>
      <c r="M15" s="41" t="n">
        <f aca="false">M13-M14</f>
        <v>1626331.00495891</v>
      </c>
      <c r="N15" s="41" t="n">
        <f aca="false">N13-N14</f>
        <v>1758548.13598961</v>
      </c>
      <c r="O15" s="41" t="n">
        <f aca="false">O13-O14</f>
        <v>1901448.17003446</v>
      </c>
      <c r="P15" s="41" t="n">
        <f aca="false">P13-P14</f>
        <v>0</v>
      </c>
      <c r="Q15" s="41" t="n">
        <f aca="false">Q13-Q14</f>
        <v>0</v>
      </c>
      <c r="R15" s="41" t="n">
        <f aca="false">R13-R14</f>
        <v>0</v>
      </c>
      <c r="S15" s="41" t="n">
        <f aca="false">S13-S14</f>
        <v>0</v>
      </c>
      <c r="T15" s="41" t="n">
        <f aca="false">T13-T14</f>
        <v>0</v>
      </c>
    </row>
    <row r="17" customFormat="false" ht="15" hidden="false" customHeight="false" outlineLevel="0" collapsed="false">
      <c r="B17" s="21" t="s">
        <v>116</v>
      </c>
      <c r="C17" s="21"/>
      <c r="D17" s="21"/>
      <c r="E17" s="21"/>
      <c r="F17" s="21"/>
      <c r="G17" s="21"/>
      <c r="H17" s="21"/>
      <c r="I17" s="21"/>
      <c r="J17" s="21"/>
      <c r="K17" s="21"/>
      <c r="L17" s="21"/>
      <c r="M17" s="21"/>
      <c r="N17" s="21"/>
      <c r="O17" s="21"/>
      <c r="P17" s="21"/>
      <c r="Q17" s="21"/>
      <c r="R17" s="21"/>
      <c r="S17" s="21"/>
      <c r="T17" s="21"/>
    </row>
    <row r="18" customFormat="false" ht="15" hidden="false" customHeight="false" outlineLevel="0" collapsed="false">
      <c r="B18" s="4" t="s">
        <v>117</v>
      </c>
      <c r="C18" s="24" t="s">
        <v>56</v>
      </c>
      <c r="D18" s="37" t="n">
        <f aca="false">SUM(E18:T18)</f>
        <v>3500000</v>
      </c>
      <c r="E18" s="38" t="n">
        <f aca="false">IF(E$5=0,EE_Capex,0)</f>
        <v>3500000</v>
      </c>
      <c r="F18" s="38" t="n">
        <f aca="false">IF(F$5=0,EE_Capex,0)</f>
        <v>0</v>
      </c>
      <c r="G18" s="38" t="n">
        <f aca="false">IF(G$5=0,EE_Capex,0)</f>
        <v>0</v>
      </c>
      <c r="H18" s="38" t="n">
        <f aca="false">IF(H$5=0,EE_Capex,0)</f>
        <v>0</v>
      </c>
      <c r="I18" s="38" t="n">
        <f aca="false">IF(I$5=0,EE_Capex,0)</f>
        <v>0</v>
      </c>
      <c r="J18" s="38" t="n">
        <f aca="false">IF(J$5=0,EE_Capex,0)</f>
        <v>0</v>
      </c>
      <c r="K18" s="38" t="n">
        <f aca="false">IF(K$5=0,EE_Capex,0)</f>
        <v>0</v>
      </c>
      <c r="L18" s="38" t="n">
        <f aca="false">IF(L$5=0,EE_Capex,0)</f>
        <v>0</v>
      </c>
      <c r="M18" s="38" t="n">
        <f aca="false">IF(M$5=0,EE_Capex,0)</f>
        <v>0</v>
      </c>
      <c r="N18" s="38" t="n">
        <f aca="false">IF(N$5=0,EE_Capex,0)</f>
        <v>0</v>
      </c>
      <c r="O18" s="38" t="n">
        <f aca="false">IF(O$5=0,EE_Capex,0)</f>
        <v>0</v>
      </c>
      <c r="P18" s="38" t="n">
        <f aca="false">IF(P$5=0,EE_Capex,0)</f>
        <v>0</v>
      </c>
      <c r="Q18" s="38" t="n">
        <f aca="false">IF(Q$5=0,EE_Capex,0)</f>
        <v>0</v>
      </c>
      <c r="R18" s="38" t="n">
        <f aca="false">IF(R$5=0,EE_Capex,0)</f>
        <v>0</v>
      </c>
      <c r="S18" s="38" t="n">
        <f aca="false">IF(S$5=0,EE_Capex,0)</f>
        <v>0</v>
      </c>
      <c r="T18" s="38" t="n">
        <f aca="false">IF(T$5=0,EE_Capex,0)</f>
        <v>0</v>
      </c>
    </row>
    <row r="19" customFormat="false" ht="15" hidden="false" customHeight="false" outlineLevel="0" collapsed="false">
      <c r="B19" s="4" t="s">
        <v>118</v>
      </c>
      <c r="C19" s="24" t="s">
        <v>56</v>
      </c>
      <c r="D19" s="37" t="n">
        <f aca="false">SUM(E19:T19)</f>
        <v>3500000</v>
      </c>
      <c r="F19" s="38" t="n">
        <f aca="false">EE_Capex/Dep_Years*F$7</f>
        <v>700000</v>
      </c>
      <c r="G19" s="38" t="n">
        <f aca="false">EE_Capex/Dep_Years*G$7</f>
        <v>700000</v>
      </c>
      <c r="H19" s="38" t="n">
        <f aca="false">EE_Capex/Dep_Years*H$7</f>
        <v>700000</v>
      </c>
      <c r="I19" s="38" t="n">
        <f aca="false">EE_Capex/Dep_Years*I$7</f>
        <v>700000</v>
      </c>
      <c r="J19" s="38" t="n">
        <f aca="false">EE_Capex/Dep_Years*J$7</f>
        <v>700000</v>
      </c>
      <c r="K19" s="38" t="n">
        <f aca="false">EE_Capex/Dep_Years*K$7</f>
        <v>0</v>
      </c>
      <c r="L19" s="38" t="n">
        <f aca="false">EE_Capex/Dep_Years*L$7</f>
        <v>0</v>
      </c>
      <c r="M19" s="38" t="n">
        <f aca="false">EE_Capex/Dep_Years*M$7</f>
        <v>0</v>
      </c>
      <c r="N19" s="38" t="n">
        <f aca="false">EE_Capex/Dep_Years*N$7</f>
        <v>0</v>
      </c>
      <c r="O19" s="38" t="n">
        <f aca="false">EE_Capex/Dep_Years*O$7</f>
        <v>0</v>
      </c>
      <c r="P19" s="38" t="n">
        <f aca="false">EE_Capex/Dep_Years*P$7</f>
        <v>0</v>
      </c>
      <c r="Q19" s="38" t="n">
        <f aca="false">EE_Capex/Dep_Years*Q$7</f>
        <v>0</v>
      </c>
      <c r="R19" s="38" t="n">
        <f aca="false">EE_Capex/Dep_Years*R$7</f>
        <v>0</v>
      </c>
      <c r="S19" s="38" t="n">
        <f aca="false">EE_Capex/Dep_Years*S$7</f>
        <v>0</v>
      </c>
      <c r="T19" s="38" t="n">
        <f aca="false">EE_Capex/Dep_Years*T$7</f>
        <v>0</v>
      </c>
    </row>
    <row r="20" customFormat="false" ht="15" hidden="false" customHeight="false" outlineLevel="0" collapsed="false">
      <c r="B20" s="4" t="s">
        <v>119</v>
      </c>
      <c r="C20" s="24" t="s">
        <v>56</v>
      </c>
      <c r="D20" s="37" t="n">
        <f aca="false">SUM(E20:T20)</f>
        <v>427500</v>
      </c>
      <c r="F20" s="38" t="n">
        <f aca="false">Allowance_12L_Rate*F11*F$8</f>
        <v>427500</v>
      </c>
      <c r="G20" s="38" t="n">
        <f aca="false">Allowance_12L_Rate*G11*G$8</f>
        <v>0</v>
      </c>
      <c r="H20" s="38" t="n">
        <f aca="false">Allowance_12L_Rate*H11*H$8</f>
        <v>0</v>
      </c>
      <c r="I20" s="38" t="n">
        <f aca="false">Allowance_12L_Rate*I11*I$8</f>
        <v>0</v>
      </c>
      <c r="J20" s="38" t="n">
        <f aca="false">Allowance_12L_Rate*J11*J$8</f>
        <v>0</v>
      </c>
      <c r="K20" s="38" t="n">
        <f aca="false">Allowance_12L_Rate*K11*K$8</f>
        <v>0</v>
      </c>
      <c r="L20" s="38" t="n">
        <f aca="false">Allowance_12L_Rate*L11*L$8</f>
        <v>0</v>
      </c>
      <c r="M20" s="38" t="n">
        <f aca="false">Allowance_12L_Rate*M11*M$8</f>
        <v>0</v>
      </c>
      <c r="N20" s="38" t="n">
        <f aca="false">Allowance_12L_Rate*N11*N$8</f>
        <v>0</v>
      </c>
      <c r="O20" s="38" t="n">
        <f aca="false">Allowance_12L_Rate*O11*O$8</f>
        <v>0</v>
      </c>
      <c r="P20" s="38" t="n">
        <f aca="false">Allowance_12L_Rate*P11*P$8</f>
        <v>0</v>
      </c>
      <c r="Q20" s="38" t="n">
        <f aca="false">Allowance_12L_Rate*Q11*Q$8</f>
        <v>0</v>
      </c>
      <c r="R20" s="38" t="n">
        <f aca="false">Allowance_12L_Rate*R11*R$8</f>
        <v>0</v>
      </c>
      <c r="S20" s="38" t="n">
        <f aca="false">Allowance_12L_Rate*S11*S$8</f>
        <v>0</v>
      </c>
      <c r="T20" s="38" t="n">
        <f aca="false">Allowance_12L_Rate*T11*T$8</f>
        <v>0</v>
      </c>
    </row>
    <row r="22" customFormat="false" ht="15" hidden="false" customHeight="false" outlineLevel="0" collapsed="false">
      <c r="B22" s="21" t="s">
        <v>120</v>
      </c>
      <c r="C22" s="21"/>
      <c r="D22" s="21"/>
      <c r="E22" s="21"/>
      <c r="F22" s="21"/>
      <c r="G22" s="21"/>
      <c r="H22" s="21"/>
      <c r="I22" s="21"/>
      <c r="J22" s="21"/>
      <c r="K22" s="21"/>
      <c r="L22" s="21"/>
      <c r="M22" s="21"/>
      <c r="N22" s="21"/>
      <c r="O22" s="21"/>
      <c r="P22" s="21"/>
      <c r="Q22" s="21"/>
      <c r="R22" s="21"/>
      <c r="S22" s="21"/>
      <c r="T22" s="21"/>
    </row>
    <row r="23" customFormat="false" ht="15" hidden="false" customHeight="false" outlineLevel="0" collapsed="false">
      <c r="B23" s="4" t="s">
        <v>115</v>
      </c>
      <c r="C23" s="24" t="s">
        <v>56</v>
      </c>
      <c r="D23" s="37" t="n">
        <f aca="false">SUM(E23:T23)</f>
        <v>13712802.2144733</v>
      </c>
      <c r="F23" s="38" t="n">
        <f aca="false">F15</f>
        <v>940000</v>
      </c>
      <c r="G23" s="38" t="n">
        <f aca="false">G15</f>
        <v>1016700</v>
      </c>
      <c r="H23" s="38" t="n">
        <f aca="false">H15</f>
        <v>1099611</v>
      </c>
      <c r="I23" s="38" t="n">
        <f aca="false">I15</f>
        <v>1189233.63</v>
      </c>
      <c r="J23" s="38" t="n">
        <f aca="false">J15</f>
        <v>1286108.7579</v>
      </c>
      <c r="K23" s="38" t="n">
        <f aca="false">K15</f>
        <v>1390820.717907</v>
      </c>
      <c r="L23" s="38" t="n">
        <f aca="false">L15</f>
        <v>1504000.79768331</v>
      </c>
      <c r="M23" s="38" t="n">
        <f aca="false">M15</f>
        <v>1626331.00495891</v>
      </c>
      <c r="N23" s="38" t="n">
        <f aca="false">N15</f>
        <v>1758548.13598961</v>
      </c>
      <c r="O23" s="38" t="n">
        <f aca="false">O15</f>
        <v>1901448.17003446</v>
      </c>
      <c r="P23" s="38" t="n">
        <f aca="false">P15</f>
        <v>0</v>
      </c>
      <c r="Q23" s="38" t="n">
        <f aca="false">Q15</f>
        <v>0</v>
      </c>
      <c r="R23" s="38" t="n">
        <f aca="false">R15</f>
        <v>0</v>
      </c>
      <c r="S23" s="38" t="n">
        <f aca="false">S15</f>
        <v>0</v>
      </c>
      <c r="T23" s="38" t="n">
        <f aca="false">T15</f>
        <v>0</v>
      </c>
    </row>
    <row r="24" customFormat="false" ht="15" hidden="false" customHeight="false" outlineLevel="0" collapsed="false">
      <c r="B24" s="4" t="s">
        <v>121</v>
      </c>
      <c r="C24" s="24" t="s">
        <v>56</v>
      </c>
      <c r="D24" s="37" t="n">
        <f aca="false">SUM(E24:T24)</f>
        <v>-3500000</v>
      </c>
      <c r="F24" s="38" t="n">
        <f aca="false">-F19</f>
        <v>-700000</v>
      </c>
      <c r="G24" s="38" t="n">
        <f aca="false">-G19</f>
        <v>-700000</v>
      </c>
      <c r="H24" s="38" t="n">
        <f aca="false">-H19</f>
        <v>-700000</v>
      </c>
      <c r="I24" s="38" t="n">
        <f aca="false">-I19</f>
        <v>-700000</v>
      </c>
      <c r="J24" s="38" t="n">
        <f aca="false">-J19</f>
        <v>-700000</v>
      </c>
      <c r="K24" s="38" t="n">
        <f aca="false">-K19</f>
        <v>-0</v>
      </c>
      <c r="L24" s="38" t="n">
        <f aca="false">-L19</f>
        <v>-0</v>
      </c>
      <c r="M24" s="38" t="n">
        <f aca="false">-M19</f>
        <v>-0</v>
      </c>
      <c r="N24" s="38" t="n">
        <f aca="false">-N19</f>
        <v>-0</v>
      </c>
      <c r="O24" s="38" t="n">
        <f aca="false">-O19</f>
        <v>-0</v>
      </c>
      <c r="P24" s="38" t="n">
        <f aca="false">-P19</f>
        <v>-0</v>
      </c>
      <c r="Q24" s="38" t="n">
        <f aca="false">-Q19</f>
        <v>-0</v>
      </c>
      <c r="R24" s="38" t="n">
        <f aca="false">-R19</f>
        <v>-0</v>
      </c>
      <c r="S24" s="38" t="n">
        <f aca="false">-S19</f>
        <v>-0</v>
      </c>
      <c r="T24" s="38" t="n">
        <f aca="false">-T19</f>
        <v>-0</v>
      </c>
    </row>
    <row r="25" customFormat="false" ht="15" hidden="false" customHeight="false" outlineLevel="0" collapsed="false">
      <c r="B25" s="42" t="s">
        <v>122</v>
      </c>
      <c r="C25" s="40" t="s">
        <v>56</v>
      </c>
      <c r="D25" s="41" t="n">
        <f aca="false">SUM(E25:T25)</f>
        <v>10212802.2144733</v>
      </c>
      <c r="F25" s="43" t="n">
        <f aca="false">SUM(F23:F24)</f>
        <v>240000</v>
      </c>
      <c r="G25" s="43" t="n">
        <f aca="false">SUM(G23:G24)</f>
        <v>316700</v>
      </c>
      <c r="H25" s="43" t="n">
        <f aca="false">SUM(H23:H24)</f>
        <v>399611</v>
      </c>
      <c r="I25" s="43" t="n">
        <f aca="false">SUM(I23:I24)</f>
        <v>489233.63</v>
      </c>
      <c r="J25" s="43" t="n">
        <f aca="false">SUM(J23:J24)</f>
        <v>586108.7579</v>
      </c>
      <c r="K25" s="43" t="n">
        <f aca="false">SUM(K23:K24)</f>
        <v>1390820.717907</v>
      </c>
      <c r="L25" s="43" t="n">
        <f aca="false">SUM(L23:L24)</f>
        <v>1504000.79768331</v>
      </c>
      <c r="M25" s="43" t="n">
        <f aca="false">SUM(M23:M24)</f>
        <v>1626331.00495891</v>
      </c>
      <c r="N25" s="43" t="n">
        <f aca="false">SUM(N23:N24)</f>
        <v>1758548.13598961</v>
      </c>
      <c r="O25" s="43" t="n">
        <f aca="false">SUM(O23:O24)</f>
        <v>1901448.17003446</v>
      </c>
      <c r="P25" s="43" t="n">
        <f aca="false">SUM(P23:P24)</f>
        <v>0</v>
      </c>
      <c r="Q25" s="43" t="n">
        <f aca="false">SUM(Q23:Q24)</f>
        <v>0</v>
      </c>
      <c r="R25" s="43" t="n">
        <f aca="false">SUM(R23:R24)</f>
        <v>0</v>
      </c>
      <c r="S25" s="43" t="n">
        <f aca="false">SUM(S23:S24)</f>
        <v>0</v>
      </c>
      <c r="T25" s="43" t="n">
        <f aca="false">SUM(T23:T24)</f>
        <v>0</v>
      </c>
    </row>
    <row r="26" customFormat="false" ht="15" hidden="false" customHeight="false" outlineLevel="0" collapsed="false">
      <c r="B26" s="4" t="s">
        <v>123</v>
      </c>
      <c r="C26" s="24" t="s">
        <v>56</v>
      </c>
      <c r="D26" s="37" t="n">
        <f aca="false">SUM(E26:T26)</f>
        <v>2757456.59790779</v>
      </c>
      <c r="F26" s="38" t="n">
        <f aca="false">Tax_Rate*F25</f>
        <v>64800</v>
      </c>
      <c r="G26" s="38" t="n">
        <f aca="false">Tax_Rate*G25</f>
        <v>85509.0000000001</v>
      </c>
      <c r="H26" s="38" t="n">
        <f aca="false">Tax_Rate*H25</f>
        <v>107894.97</v>
      </c>
      <c r="I26" s="38" t="n">
        <f aca="false">Tax_Rate*I25</f>
        <v>132093.0801</v>
      </c>
      <c r="J26" s="38" t="n">
        <f aca="false">Tax_Rate*J25</f>
        <v>158249.364633</v>
      </c>
      <c r="K26" s="38" t="n">
        <f aca="false">Tax_Rate*K25</f>
        <v>375521.59383489</v>
      </c>
      <c r="L26" s="38" t="n">
        <f aca="false">Tax_Rate*L25</f>
        <v>406080.215374494</v>
      </c>
      <c r="M26" s="38" t="n">
        <f aca="false">Tax_Rate*M25</f>
        <v>439109.371338907</v>
      </c>
      <c r="N26" s="38" t="n">
        <f aca="false">Tax_Rate*N25</f>
        <v>474807.996717195</v>
      </c>
      <c r="O26" s="38" t="n">
        <f aca="false">Tax_Rate*O25</f>
        <v>513391.005909305</v>
      </c>
      <c r="P26" s="38" t="n">
        <f aca="false">Tax_Rate*P25</f>
        <v>0</v>
      </c>
      <c r="Q26" s="38" t="n">
        <f aca="false">Tax_Rate*Q25</f>
        <v>0</v>
      </c>
      <c r="R26" s="38" t="n">
        <f aca="false">Tax_Rate*R25</f>
        <v>0</v>
      </c>
      <c r="S26" s="38" t="n">
        <f aca="false">Tax_Rate*S25</f>
        <v>0</v>
      </c>
      <c r="T26" s="38" t="n">
        <f aca="false">Tax_Rate*T25</f>
        <v>0</v>
      </c>
    </row>
    <row r="27" customFormat="false" ht="15" hidden="false" customHeight="false" outlineLevel="0" collapsed="false">
      <c r="B27" s="4" t="s">
        <v>117</v>
      </c>
      <c r="C27" s="24" t="s">
        <v>56</v>
      </c>
      <c r="D27" s="37" t="n">
        <f aca="false">SUM(E27:T27)</f>
        <v>-3500000</v>
      </c>
      <c r="E27" s="38" t="n">
        <f aca="false">-E18</f>
        <v>-3500000</v>
      </c>
      <c r="F27" s="38" t="n">
        <f aca="false">-F18</f>
        <v>-0</v>
      </c>
      <c r="G27" s="38" t="n">
        <f aca="false">-G18</f>
        <v>-0</v>
      </c>
      <c r="H27" s="38" t="n">
        <f aca="false">-H18</f>
        <v>-0</v>
      </c>
      <c r="I27" s="38" t="n">
        <f aca="false">-I18</f>
        <v>-0</v>
      </c>
      <c r="J27" s="38" t="n">
        <f aca="false">-J18</f>
        <v>-0</v>
      </c>
      <c r="K27" s="38" t="n">
        <f aca="false">-K18</f>
        <v>-0</v>
      </c>
      <c r="L27" s="38" t="n">
        <f aca="false">-L18</f>
        <v>-0</v>
      </c>
      <c r="M27" s="38" t="n">
        <f aca="false">-M18</f>
        <v>-0</v>
      </c>
      <c r="N27" s="38" t="n">
        <f aca="false">-N18</f>
        <v>-0</v>
      </c>
      <c r="O27" s="38" t="n">
        <f aca="false">-O18</f>
        <v>-0</v>
      </c>
      <c r="P27" s="38" t="n">
        <f aca="false">-P18</f>
        <v>-0</v>
      </c>
      <c r="Q27" s="38" t="n">
        <f aca="false">-Q18</f>
        <v>-0</v>
      </c>
      <c r="R27" s="38" t="n">
        <f aca="false">-R18</f>
        <v>-0</v>
      </c>
      <c r="S27" s="38" t="n">
        <f aca="false">-S18</f>
        <v>-0</v>
      </c>
      <c r="T27" s="38" t="n">
        <f aca="false">-T18</f>
        <v>-0</v>
      </c>
    </row>
    <row r="28" customFormat="false" ht="15" hidden="false" customHeight="false" outlineLevel="0" collapsed="false">
      <c r="B28" s="39" t="s">
        <v>124</v>
      </c>
      <c r="C28" s="40" t="s">
        <v>56</v>
      </c>
      <c r="D28" s="41" t="n">
        <f aca="false">SUM(E28:T28)</f>
        <v>7455345.61656551</v>
      </c>
      <c r="E28" s="41" t="n">
        <f aca="false">E27+E23-E26</f>
        <v>-3500000</v>
      </c>
      <c r="F28" s="41" t="n">
        <f aca="false">F27+F23-F26</f>
        <v>875200</v>
      </c>
      <c r="G28" s="41" t="n">
        <f aca="false">G27+G23-G26</f>
        <v>931191</v>
      </c>
      <c r="H28" s="41" t="n">
        <f aca="false">H27+H23-H26</f>
        <v>991716.03</v>
      </c>
      <c r="I28" s="41" t="n">
        <f aca="false">I27+I23-I26</f>
        <v>1057140.5499</v>
      </c>
      <c r="J28" s="41" t="n">
        <f aca="false">J27+J23-J26</f>
        <v>1127859.393267</v>
      </c>
      <c r="K28" s="41" t="n">
        <f aca="false">K27+K23-K26</f>
        <v>1015299.12407211</v>
      </c>
      <c r="L28" s="41" t="n">
        <f aca="false">L27+L23-L26</f>
        <v>1097920.58230882</v>
      </c>
      <c r="M28" s="41" t="n">
        <f aca="false">M27+M23-M26</f>
        <v>1187221.63362001</v>
      </c>
      <c r="N28" s="41" t="n">
        <f aca="false">N27+N23-N26</f>
        <v>1283740.13927242</v>
      </c>
      <c r="O28" s="41" t="n">
        <f aca="false">O27+O23-O26</f>
        <v>1388057.16412516</v>
      </c>
      <c r="P28" s="41" t="n">
        <f aca="false">P27+P23-P26</f>
        <v>0</v>
      </c>
      <c r="Q28" s="41" t="n">
        <f aca="false">Q27+Q23-Q26</f>
        <v>0</v>
      </c>
      <c r="R28" s="41" t="n">
        <f aca="false">R27+R23-R26</f>
        <v>0</v>
      </c>
      <c r="S28" s="41" t="n">
        <f aca="false">S27+S23-S26</f>
        <v>0</v>
      </c>
      <c r="T28" s="41" t="n">
        <f aca="false">T27+T23-T26</f>
        <v>0</v>
      </c>
    </row>
    <row r="29" customFormat="false" ht="15" hidden="false" customHeight="false" outlineLevel="0" collapsed="false">
      <c r="B29" s="4" t="s">
        <v>125</v>
      </c>
      <c r="C29" s="24" t="s">
        <v>56</v>
      </c>
      <c r="E29" s="38" t="n">
        <f aca="false">SUM($E28:E28)</f>
        <v>-3500000</v>
      </c>
      <c r="F29" s="38" t="n">
        <f aca="false">SUM($E28:F28)</f>
        <v>-2624800</v>
      </c>
      <c r="G29" s="38" t="n">
        <f aca="false">SUM($E28:G28)</f>
        <v>-1693609</v>
      </c>
      <c r="H29" s="38" t="n">
        <f aca="false">SUM($E28:H28)</f>
        <v>-701892.97</v>
      </c>
      <c r="I29" s="38" t="n">
        <f aca="false">SUM($E28:I28)</f>
        <v>355247.579900001</v>
      </c>
      <c r="J29" s="38" t="n">
        <f aca="false">SUM($E28:J28)</f>
        <v>1483106.973167</v>
      </c>
      <c r="K29" s="38" t="n">
        <f aca="false">SUM($E28:K28)</f>
        <v>2498406.09723911</v>
      </c>
      <c r="L29" s="38" t="n">
        <f aca="false">SUM($E28:L28)</f>
        <v>3596326.67954793</v>
      </c>
      <c r="M29" s="38" t="n">
        <f aca="false">SUM($E28:M28)</f>
        <v>4783548.31316793</v>
      </c>
      <c r="N29" s="38" t="n">
        <f aca="false">SUM($E28:N28)</f>
        <v>6067288.45244035</v>
      </c>
      <c r="O29" s="38" t="n">
        <f aca="false">SUM($E28:O28)</f>
        <v>7455345.61656551</v>
      </c>
      <c r="P29" s="38" t="n">
        <f aca="false">SUM($E28:P28)</f>
        <v>7455345.61656551</v>
      </c>
      <c r="Q29" s="38" t="n">
        <f aca="false">SUM($E28:Q28)</f>
        <v>7455345.61656551</v>
      </c>
      <c r="R29" s="38" t="n">
        <f aca="false">SUM($E28:R28)</f>
        <v>7455345.61656551</v>
      </c>
      <c r="S29" s="38" t="n">
        <f aca="false">SUM($E28:S28)</f>
        <v>7455345.61656551</v>
      </c>
      <c r="T29" s="38" t="n">
        <f aca="false">SUM($E28:T28)</f>
        <v>7455345.61656551</v>
      </c>
    </row>
    <row r="31" customFormat="false" ht="15" hidden="false" customHeight="false" outlineLevel="0" collapsed="false">
      <c r="B31" s="21" t="s">
        <v>126</v>
      </c>
      <c r="C31" s="21"/>
      <c r="D31" s="21"/>
      <c r="E31" s="21"/>
      <c r="F31" s="21"/>
      <c r="G31" s="21"/>
      <c r="H31" s="21"/>
      <c r="I31" s="21"/>
      <c r="J31" s="21"/>
      <c r="K31" s="21"/>
      <c r="L31" s="21"/>
      <c r="M31" s="21"/>
      <c r="N31" s="21"/>
      <c r="O31" s="21"/>
      <c r="P31" s="21"/>
      <c r="Q31" s="21"/>
      <c r="R31" s="21"/>
      <c r="S31" s="21"/>
      <c r="T31" s="21"/>
    </row>
    <row r="32" customFormat="false" ht="15" hidden="false" customHeight="false" outlineLevel="0" collapsed="false">
      <c r="B32" s="4" t="s">
        <v>115</v>
      </c>
      <c r="C32" s="24" t="s">
        <v>56</v>
      </c>
      <c r="D32" s="37" t="n">
        <f aca="false">SUM(E32:T32)</f>
        <v>13712802.2144733</v>
      </c>
      <c r="F32" s="38" t="n">
        <f aca="false">F15</f>
        <v>940000</v>
      </c>
      <c r="G32" s="38" t="n">
        <f aca="false">G15</f>
        <v>1016700</v>
      </c>
      <c r="H32" s="38" t="n">
        <f aca="false">H15</f>
        <v>1099611</v>
      </c>
      <c r="I32" s="38" t="n">
        <f aca="false">I15</f>
        <v>1189233.63</v>
      </c>
      <c r="J32" s="38" t="n">
        <f aca="false">J15</f>
        <v>1286108.7579</v>
      </c>
      <c r="K32" s="38" t="n">
        <f aca="false">K15</f>
        <v>1390820.717907</v>
      </c>
      <c r="L32" s="38" t="n">
        <f aca="false">L15</f>
        <v>1504000.79768331</v>
      </c>
      <c r="M32" s="38" t="n">
        <f aca="false">M15</f>
        <v>1626331.00495891</v>
      </c>
      <c r="N32" s="38" t="n">
        <f aca="false">N15</f>
        <v>1758548.13598961</v>
      </c>
      <c r="O32" s="38" t="n">
        <f aca="false">O15</f>
        <v>1901448.17003446</v>
      </c>
      <c r="P32" s="38" t="n">
        <f aca="false">P15</f>
        <v>0</v>
      </c>
      <c r="Q32" s="38" t="n">
        <f aca="false">Q15</f>
        <v>0</v>
      </c>
      <c r="R32" s="38" t="n">
        <f aca="false">R15</f>
        <v>0</v>
      </c>
      <c r="S32" s="38" t="n">
        <f aca="false">S15</f>
        <v>0</v>
      </c>
      <c r="T32" s="38" t="n">
        <f aca="false">T15</f>
        <v>0</v>
      </c>
    </row>
    <row r="33" customFormat="false" ht="15" hidden="false" customHeight="false" outlineLevel="0" collapsed="false">
      <c r="B33" s="4" t="s">
        <v>121</v>
      </c>
      <c r="C33" s="24" t="s">
        <v>56</v>
      </c>
      <c r="D33" s="37" t="n">
        <f aca="false">SUM(E33:T33)</f>
        <v>-3500000</v>
      </c>
      <c r="F33" s="38" t="n">
        <f aca="false">-F19</f>
        <v>-700000</v>
      </c>
      <c r="G33" s="38" t="n">
        <f aca="false">-G19</f>
        <v>-700000</v>
      </c>
      <c r="H33" s="38" t="n">
        <f aca="false">-H19</f>
        <v>-700000</v>
      </c>
      <c r="I33" s="38" t="n">
        <f aca="false">-I19</f>
        <v>-700000</v>
      </c>
      <c r="J33" s="38" t="n">
        <f aca="false">-J19</f>
        <v>-700000</v>
      </c>
      <c r="K33" s="38" t="n">
        <f aca="false">-K19</f>
        <v>-0</v>
      </c>
      <c r="L33" s="38" t="n">
        <f aca="false">-L19</f>
        <v>-0</v>
      </c>
      <c r="M33" s="38" t="n">
        <f aca="false">-M19</f>
        <v>-0</v>
      </c>
      <c r="N33" s="38" t="n">
        <f aca="false">-N19</f>
        <v>-0</v>
      </c>
      <c r="O33" s="38" t="n">
        <f aca="false">-O19</f>
        <v>-0</v>
      </c>
      <c r="P33" s="38" t="n">
        <f aca="false">-P19</f>
        <v>-0</v>
      </c>
      <c r="Q33" s="38" t="n">
        <f aca="false">-Q19</f>
        <v>-0</v>
      </c>
      <c r="R33" s="38" t="n">
        <f aca="false">-R19</f>
        <v>-0</v>
      </c>
      <c r="S33" s="38" t="n">
        <f aca="false">-S19</f>
        <v>-0</v>
      </c>
      <c r="T33" s="38" t="n">
        <f aca="false">-T19</f>
        <v>-0</v>
      </c>
    </row>
    <row r="34" customFormat="false" ht="15" hidden="false" customHeight="false" outlineLevel="0" collapsed="false">
      <c r="B34" s="4" t="s">
        <v>127</v>
      </c>
      <c r="C34" s="24" t="s">
        <v>56</v>
      </c>
      <c r="D34" s="37" t="n">
        <f aca="false">SUM(E34:T34)</f>
        <v>-427500</v>
      </c>
      <c r="F34" s="38" t="n">
        <f aca="false">-F20</f>
        <v>-427500</v>
      </c>
      <c r="G34" s="38" t="n">
        <f aca="false">-G20</f>
        <v>-0</v>
      </c>
      <c r="H34" s="38" t="n">
        <f aca="false">-H20</f>
        <v>-0</v>
      </c>
      <c r="I34" s="38" t="n">
        <f aca="false">-I20</f>
        <v>-0</v>
      </c>
      <c r="J34" s="38" t="n">
        <f aca="false">-J20</f>
        <v>-0</v>
      </c>
      <c r="K34" s="38" t="n">
        <f aca="false">-K20</f>
        <v>-0</v>
      </c>
      <c r="L34" s="38" t="n">
        <f aca="false">-L20</f>
        <v>-0</v>
      </c>
      <c r="M34" s="38" t="n">
        <f aca="false">-M20</f>
        <v>-0</v>
      </c>
      <c r="N34" s="38" t="n">
        <f aca="false">-N20</f>
        <v>-0</v>
      </c>
      <c r="O34" s="38" t="n">
        <f aca="false">-O20</f>
        <v>-0</v>
      </c>
      <c r="P34" s="38" t="n">
        <f aca="false">-P20</f>
        <v>-0</v>
      </c>
      <c r="Q34" s="38" t="n">
        <f aca="false">-Q20</f>
        <v>-0</v>
      </c>
      <c r="R34" s="38" t="n">
        <f aca="false">-R20</f>
        <v>-0</v>
      </c>
      <c r="S34" s="38" t="n">
        <f aca="false">-S20</f>
        <v>-0</v>
      </c>
      <c r="T34" s="38" t="n">
        <f aca="false">-T20</f>
        <v>-0</v>
      </c>
    </row>
    <row r="35" customFormat="false" ht="15" hidden="false" customHeight="false" outlineLevel="0" collapsed="false">
      <c r="B35" s="42" t="s">
        <v>122</v>
      </c>
      <c r="C35" s="40" t="s">
        <v>56</v>
      </c>
      <c r="D35" s="41" t="n">
        <f aca="false">SUM(E35:T35)</f>
        <v>9785302.2144733</v>
      </c>
      <c r="F35" s="43" t="n">
        <f aca="false">SUM(F32:F34)</f>
        <v>-187500</v>
      </c>
      <c r="G35" s="43" t="n">
        <f aca="false">SUM(G32:G34)</f>
        <v>316700</v>
      </c>
      <c r="H35" s="43" t="n">
        <f aca="false">SUM(H32:H34)</f>
        <v>399611</v>
      </c>
      <c r="I35" s="43" t="n">
        <f aca="false">SUM(I32:I34)</f>
        <v>489233.63</v>
      </c>
      <c r="J35" s="43" t="n">
        <f aca="false">SUM(J32:J34)</f>
        <v>586108.7579</v>
      </c>
      <c r="K35" s="43" t="n">
        <f aca="false">SUM(K32:K34)</f>
        <v>1390820.717907</v>
      </c>
      <c r="L35" s="43" t="n">
        <f aca="false">SUM(L32:L34)</f>
        <v>1504000.79768331</v>
      </c>
      <c r="M35" s="43" t="n">
        <f aca="false">SUM(M32:M34)</f>
        <v>1626331.00495891</v>
      </c>
      <c r="N35" s="43" t="n">
        <f aca="false">SUM(N32:N34)</f>
        <v>1758548.13598961</v>
      </c>
      <c r="O35" s="43" t="n">
        <f aca="false">SUM(O32:O34)</f>
        <v>1901448.17003446</v>
      </c>
      <c r="P35" s="43" t="n">
        <f aca="false">SUM(P32:P34)</f>
        <v>0</v>
      </c>
      <c r="Q35" s="43" t="n">
        <f aca="false">SUM(Q32:Q34)</f>
        <v>0</v>
      </c>
      <c r="R35" s="43" t="n">
        <f aca="false">SUM(R32:R34)</f>
        <v>0</v>
      </c>
      <c r="S35" s="43" t="n">
        <f aca="false">SUM(S32:S34)</f>
        <v>0</v>
      </c>
      <c r="T35" s="43" t="n">
        <f aca="false">SUM(T32:T34)</f>
        <v>0</v>
      </c>
    </row>
    <row r="36" customFormat="false" ht="15" hidden="false" customHeight="false" outlineLevel="0" collapsed="false">
      <c r="B36" s="4" t="s">
        <v>123</v>
      </c>
      <c r="C36" s="24" t="s">
        <v>56</v>
      </c>
      <c r="D36" s="37" t="n">
        <f aca="false">SUM(E36:T36)</f>
        <v>2642031.59790779</v>
      </c>
      <c r="F36" s="38" t="n">
        <f aca="false">Tax_Rate*F35</f>
        <v>-50625</v>
      </c>
      <c r="G36" s="38" t="n">
        <f aca="false">Tax_Rate*G35</f>
        <v>85509.0000000001</v>
      </c>
      <c r="H36" s="38" t="n">
        <f aca="false">Tax_Rate*H35</f>
        <v>107894.97</v>
      </c>
      <c r="I36" s="38" t="n">
        <f aca="false">Tax_Rate*I35</f>
        <v>132093.0801</v>
      </c>
      <c r="J36" s="38" t="n">
        <f aca="false">Tax_Rate*J35</f>
        <v>158249.364633</v>
      </c>
      <c r="K36" s="38" t="n">
        <f aca="false">Tax_Rate*K35</f>
        <v>375521.59383489</v>
      </c>
      <c r="L36" s="38" t="n">
        <f aca="false">Tax_Rate*L35</f>
        <v>406080.215374494</v>
      </c>
      <c r="M36" s="38" t="n">
        <f aca="false">Tax_Rate*M35</f>
        <v>439109.371338907</v>
      </c>
      <c r="N36" s="38" t="n">
        <f aca="false">Tax_Rate*N35</f>
        <v>474807.996717195</v>
      </c>
      <c r="O36" s="38" t="n">
        <f aca="false">Tax_Rate*O35</f>
        <v>513391.005909305</v>
      </c>
      <c r="P36" s="38" t="n">
        <f aca="false">Tax_Rate*P35</f>
        <v>0</v>
      </c>
      <c r="Q36" s="38" t="n">
        <f aca="false">Tax_Rate*Q35</f>
        <v>0</v>
      </c>
      <c r="R36" s="38" t="n">
        <f aca="false">Tax_Rate*R35</f>
        <v>0</v>
      </c>
      <c r="S36" s="38" t="n">
        <f aca="false">Tax_Rate*S35</f>
        <v>0</v>
      </c>
      <c r="T36" s="38" t="n">
        <f aca="false">Tax_Rate*T35</f>
        <v>0</v>
      </c>
    </row>
    <row r="37" customFormat="false" ht="15" hidden="false" customHeight="false" outlineLevel="0" collapsed="false">
      <c r="B37" s="4" t="s">
        <v>117</v>
      </c>
      <c r="C37" s="24" t="s">
        <v>56</v>
      </c>
      <c r="D37" s="37" t="n">
        <f aca="false">SUM(E37:T37)</f>
        <v>-3500000</v>
      </c>
      <c r="E37" s="38" t="n">
        <f aca="false">-E18</f>
        <v>-3500000</v>
      </c>
      <c r="F37" s="38" t="n">
        <f aca="false">-F18</f>
        <v>-0</v>
      </c>
      <c r="G37" s="38" t="n">
        <f aca="false">-G18</f>
        <v>-0</v>
      </c>
      <c r="H37" s="38" t="n">
        <f aca="false">-H18</f>
        <v>-0</v>
      </c>
      <c r="I37" s="38" t="n">
        <f aca="false">-I18</f>
        <v>-0</v>
      </c>
      <c r="J37" s="38" t="n">
        <f aca="false">-J18</f>
        <v>-0</v>
      </c>
      <c r="K37" s="38" t="n">
        <f aca="false">-K18</f>
        <v>-0</v>
      </c>
      <c r="L37" s="38" t="n">
        <f aca="false">-L18</f>
        <v>-0</v>
      </c>
      <c r="M37" s="38" t="n">
        <f aca="false">-M18</f>
        <v>-0</v>
      </c>
      <c r="N37" s="38" t="n">
        <f aca="false">-N18</f>
        <v>-0</v>
      </c>
      <c r="O37" s="38" t="n">
        <f aca="false">-O18</f>
        <v>-0</v>
      </c>
      <c r="P37" s="38" t="n">
        <f aca="false">-P18</f>
        <v>-0</v>
      </c>
      <c r="Q37" s="38" t="n">
        <f aca="false">-Q18</f>
        <v>-0</v>
      </c>
      <c r="R37" s="38" t="n">
        <f aca="false">-R18</f>
        <v>-0</v>
      </c>
      <c r="S37" s="38" t="n">
        <f aca="false">-S18</f>
        <v>-0</v>
      </c>
      <c r="T37" s="38" t="n">
        <f aca="false">-T18</f>
        <v>-0</v>
      </c>
    </row>
    <row r="38" customFormat="false" ht="15" hidden="false" customHeight="false" outlineLevel="0" collapsed="false">
      <c r="B38" s="39" t="s">
        <v>124</v>
      </c>
      <c r="C38" s="40" t="s">
        <v>56</v>
      </c>
      <c r="D38" s="41" t="n">
        <f aca="false">SUM(E38:T38)</f>
        <v>7570770.61656551</v>
      </c>
      <c r="E38" s="41" t="n">
        <f aca="false">E37+E32-E36</f>
        <v>-3500000</v>
      </c>
      <c r="F38" s="41" t="n">
        <f aca="false">F37+F32-F36</f>
        <v>990625</v>
      </c>
      <c r="G38" s="41" t="n">
        <f aca="false">G37+G32-G36</f>
        <v>931191</v>
      </c>
      <c r="H38" s="41" t="n">
        <f aca="false">H37+H32-H36</f>
        <v>991716.03</v>
      </c>
      <c r="I38" s="41" t="n">
        <f aca="false">I37+I32-I36</f>
        <v>1057140.5499</v>
      </c>
      <c r="J38" s="41" t="n">
        <f aca="false">J37+J32-J36</f>
        <v>1127859.393267</v>
      </c>
      <c r="K38" s="41" t="n">
        <f aca="false">K37+K32-K36</f>
        <v>1015299.12407211</v>
      </c>
      <c r="L38" s="41" t="n">
        <f aca="false">L37+L32-L36</f>
        <v>1097920.58230882</v>
      </c>
      <c r="M38" s="41" t="n">
        <f aca="false">M37+M32-M36</f>
        <v>1187221.63362001</v>
      </c>
      <c r="N38" s="41" t="n">
        <f aca="false">N37+N32-N36</f>
        <v>1283740.13927242</v>
      </c>
      <c r="O38" s="41" t="n">
        <f aca="false">O37+O32-O36</f>
        <v>1388057.16412516</v>
      </c>
      <c r="P38" s="41" t="n">
        <f aca="false">P37+P32-P36</f>
        <v>0</v>
      </c>
      <c r="Q38" s="41" t="n">
        <f aca="false">Q37+Q32-Q36</f>
        <v>0</v>
      </c>
      <c r="R38" s="41" t="n">
        <f aca="false">R37+R32-R36</f>
        <v>0</v>
      </c>
      <c r="S38" s="41" t="n">
        <f aca="false">S37+S32-S36</f>
        <v>0</v>
      </c>
      <c r="T38" s="41" t="n">
        <f aca="false">T37+T32-T36</f>
        <v>0</v>
      </c>
    </row>
    <row r="39" customFormat="false" ht="15" hidden="false" customHeight="false" outlineLevel="0" collapsed="false">
      <c r="B39" s="4" t="s">
        <v>125</v>
      </c>
      <c r="C39" s="24" t="s">
        <v>56</v>
      </c>
      <c r="E39" s="38" t="n">
        <f aca="false">SUM($E38:E38)</f>
        <v>-3500000</v>
      </c>
      <c r="F39" s="38" t="n">
        <f aca="false">SUM($E38:F38)</f>
        <v>-2509375</v>
      </c>
      <c r="G39" s="38" t="n">
        <f aca="false">SUM($E38:G38)</f>
        <v>-1578184</v>
      </c>
      <c r="H39" s="38" t="n">
        <f aca="false">SUM($E38:H38)</f>
        <v>-586467.97</v>
      </c>
      <c r="I39" s="38" t="n">
        <f aca="false">SUM($E38:I38)</f>
        <v>470672.579900001</v>
      </c>
      <c r="J39" s="38" t="n">
        <f aca="false">SUM($E38:J38)</f>
        <v>1598531.973167</v>
      </c>
      <c r="K39" s="38" t="n">
        <f aca="false">SUM($E38:K38)</f>
        <v>2613831.09723911</v>
      </c>
      <c r="L39" s="38" t="n">
        <f aca="false">SUM($E38:L38)</f>
        <v>3711751.67954793</v>
      </c>
      <c r="M39" s="38" t="n">
        <f aca="false">SUM($E38:M38)</f>
        <v>4898973.31316793</v>
      </c>
      <c r="N39" s="38" t="n">
        <f aca="false">SUM($E38:N38)</f>
        <v>6182713.45244035</v>
      </c>
      <c r="O39" s="38" t="n">
        <f aca="false">SUM($E38:O38)</f>
        <v>7570770.61656551</v>
      </c>
      <c r="P39" s="38" t="n">
        <f aca="false">SUM($E38:P38)</f>
        <v>7570770.61656551</v>
      </c>
      <c r="Q39" s="38" t="n">
        <f aca="false">SUM($E38:Q38)</f>
        <v>7570770.61656551</v>
      </c>
      <c r="R39" s="38" t="n">
        <f aca="false">SUM($E38:R38)</f>
        <v>7570770.61656551</v>
      </c>
      <c r="S39" s="38" t="n">
        <f aca="false">SUM($E38:S38)</f>
        <v>7570770.61656551</v>
      </c>
      <c r="T39" s="38" t="n">
        <f aca="false">SUM($E38:T38)</f>
        <v>7570770.61656551</v>
      </c>
    </row>
    <row r="41" customFormat="false" ht="15" hidden="false" customHeight="false" outlineLevel="0" collapsed="false">
      <c r="B41" s="21" t="s">
        <v>128</v>
      </c>
      <c r="C41" s="21"/>
      <c r="D41" s="21"/>
      <c r="E41" s="21"/>
      <c r="F41" s="21"/>
      <c r="G41" s="21"/>
      <c r="H41" s="21"/>
      <c r="I41" s="21"/>
      <c r="J41" s="21"/>
      <c r="K41" s="21"/>
      <c r="L41" s="21"/>
      <c r="M41" s="21"/>
      <c r="N41" s="21"/>
      <c r="O41" s="21"/>
      <c r="P41" s="21"/>
      <c r="Q41" s="21"/>
      <c r="R41" s="21"/>
      <c r="S41" s="21"/>
      <c r="T41" s="21"/>
    </row>
    <row r="42" customFormat="false" ht="15" hidden="false" customHeight="false" outlineLevel="0" collapsed="false">
      <c r="B42" s="4" t="s">
        <v>129</v>
      </c>
      <c r="C42" s="24" t="s">
        <v>130</v>
      </c>
      <c r="E42" s="44" t="n">
        <f aca="false">1/(1+Discount_Rate)^E$5</f>
        <v>1</v>
      </c>
      <c r="F42" s="44" t="n">
        <f aca="false">1/(1+Discount_Rate)^F$5</f>
        <v>0.892857142857143</v>
      </c>
      <c r="G42" s="44" t="n">
        <f aca="false">1/(1+Discount_Rate)^G$5</f>
        <v>0.79719387755102</v>
      </c>
      <c r="H42" s="44" t="n">
        <f aca="false">1/(1+Discount_Rate)^H$5</f>
        <v>0.711780247813411</v>
      </c>
      <c r="I42" s="44" t="n">
        <f aca="false">1/(1+Discount_Rate)^I$5</f>
        <v>0.635518078404831</v>
      </c>
      <c r="J42" s="44" t="n">
        <f aca="false">1/(1+Discount_Rate)^J$5</f>
        <v>0.567426855718599</v>
      </c>
      <c r="K42" s="44" t="n">
        <f aca="false">1/(1+Discount_Rate)^K$5</f>
        <v>0.506631121177321</v>
      </c>
      <c r="L42" s="44" t="n">
        <f aca="false">1/(1+Discount_Rate)^L$5</f>
        <v>0.452349215336893</v>
      </c>
      <c r="M42" s="44" t="n">
        <f aca="false">1/(1+Discount_Rate)^M$5</f>
        <v>0.403883227979369</v>
      </c>
      <c r="N42" s="44" t="n">
        <f aca="false">1/(1+Discount_Rate)^N$5</f>
        <v>0.360610024981579</v>
      </c>
      <c r="O42" s="44" t="n">
        <f aca="false">1/(1+Discount_Rate)^O$5</f>
        <v>0.321973236590696</v>
      </c>
      <c r="P42" s="44" t="n">
        <f aca="false">1/(1+Discount_Rate)^P$5</f>
        <v>0.287476104098836</v>
      </c>
      <c r="Q42" s="44" t="n">
        <f aca="false">1/(1+Discount_Rate)^Q$5</f>
        <v>0.256675092945389</v>
      </c>
      <c r="R42" s="44" t="n">
        <f aca="false">1/(1+Discount_Rate)^R$5</f>
        <v>0.229174190129812</v>
      </c>
      <c r="S42" s="44" t="n">
        <f aca="false">1/(1+Discount_Rate)^S$5</f>
        <v>0.204619812615903</v>
      </c>
      <c r="T42" s="44" t="n">
        <f aca="false">1/(1+Discount_Rate)^T$5</f>
        <v>0.182696261264199</v>
      </c>
    </row>
    <row r="43" customFormat="false" ht="15" hidden="false" customHeight="false" outlineLevel="0" collapsed="false">
      <c r="B43" s="4" t="s">
        <v>131</v>
      </c>
      <c r="C43" s="24" t="s">
        <v>56</v>
      </c>
      <c r="D43" s="37" t="n">
        <f aca="false">SUM(E43:T43)</f>
        <v>2441833.23172474</v>
      </c>
      <c r="E43" s="38" t="n">
        <f aca="false">E28*E42</f>
        <v>-3500000</v>
      </c>
      <c r="F43" s="38" t="n">
        <f aca="false">F28*F42</f>
        <v>781428.571428572</v>
      </c>
      <c r="G43" s="38" t="n">
        <f aca="false">G28*G42</f>
        <v>742339.764030612</v>
      </c>
      <c r="H43" s="38" t="n">
        <f aca="false">H28*H42</f>
        <v>705883.881593932</v>
      </c>
      <c r="I43" s="38" t="n">
        <f aca="false">I28*I42</f>
        <v>671831.930876275</v>
      </c>
      <c r="J43" s="38" t="n">
        <f aca="false">J28*J42</f>
        <v>639977.709214181</v>
      </c>
      <c r="K43" s="38" t="n">
        <f aca="false">K28*K42</f>
        <v>514382.133559005</v>
      </c>
      <c r="L43" s="38" t="n">
        <f aca="false">L28*L42</f>
        <v>496643.513909618</v>
      </c>
      <c r="M43" s="38" t="n">
        <f aca="false">M28*M42</f>
        <v>479498.905713388</v>
      </c>
      <c r="N43" s="38" t="n">
        <f aca="false">N28*N42</f>
        <v>462929.563692882</v>
      </c>
      <c r="O43" s="38" t="n">
        <f aca="false">O28*O42</f>
        <v>446917.25770628</v>
      </c>
      <c r="P43" s="38" t="n">
        <f aca="false">P28*P42</f>
        <v>0</v>
      </c>
      <c r="Q43" s="38" t="n">
        <f aca="false">Q28*Q42</f>
        <v>0</v>
      </c>
      <c r="R43" s="38" t="n">
        <f aca="false">R28*R42</f>
        <v>0</v>
      </c>
      <c r="S43" s="38" t="n">
        <f aca="false">S28*S42</f>
        <v>0</v>
      </c>
      <c r="T43" s="38" t="n">
        <f aca="false">T28*T42</f>
        <v>0</v>
      </c>
    </row>
    <row r="44" customFormat="false" ht="15" hidden="false" customHeight="false" outlineLevel="0" collapsed="false">
      <c r="B44" s="4" t="s">
        <v>132</v>
      </c>
      <c r="C44" s="24" t="s">
        <v>56</v>
      </c>
      <c r="D44" s="37" t="n">
        <f aca="false">SUM(E44:T44)</f>
        <v>2544891.26743903</v>
      </c>
      <c r="E44" s="38" t="n">
        <f aca="false">E38*E42</f>
        <v>-3500000</v>
      </c>
      <c r="F44" s="38" t="n">
        <f aca="false">F38*F42</f>
        <v>884486.607142857</v>
      </c>
      <c r="G44" s="38" t="n">
        <f aca="false">G38*G42</f>
        <v>742339.764030612</v>
      </c>
      <c r="H44" s="38" t="n">
        <f aca="false">H38*H42</f>
        <v>705883.881593932</v>
      </c>
      <c r="I44" s="38" t="n">
        <f aca="false">I38*I42</f>
        <v>671831.930876275</v>
      </c>
      <c r="J44" s="38" t="n">
        <f aca="false">J38*J42</f>
        <v>639977.709214181</v>
      </c>
      <c r="K44" s="38" t="n">
        <f aca="false">K38*K42</f>
        <v>514382.133559005</v>
      </c>
      <c r="L44" s="38" t="n">
        <f aca="false">L38*L42</f>
        <v>496643.513909618</v>
      </c>
      <c r="M44" s="38" t="n">
        <f aca="false">M38*M42</f>
        <v>479498.905713388</v>
      </c>
      <c r="N44" s="38" t="n">
        <f aca="false">N38*N42</f>
        <v>462929.563692882</v>
      </c>
      <c r="O44" s="38" t="n">
        <f aca="false">O38*O42</f>
        <v>446917.25770628</v>
      </c>
      <c r="P44" s="38" t="n">
        <f aca="false">P38*P42</f>
        <v>0</v>
      </c>
      <c r="Q44" s="38" t="n">
        <f aca="false">Q38*Q42</f>
        <v>0</v>
      </c>
      <c r="R44" s="38" t="n">
        <f aca="false">R38*R42</f>
        <v>0</v>
      </c>
      <c r="S44" s="38" t="n">
        <f aca="false">S38*S42</f>
        <v>0</v>
      </c>
      <c r="T44" s="38" t="n">
        <f aca="false">T38*T42</f>
        <v>0</v>
      </c>
    </row>
    <row r="45" customFormat="false" ht="15" hidden="false" customHeight="false" outlineLevel="0" collapsed="false">
      <c r="B45" s="42" t="s">
        <v>133</v>
      </c>
      <c r="C45" s="40" t="s">
        <v>56</v>
      </c>
      <c r="D45" s="41" t="n">
        <f aca="false">SUM(E45:T45)</f>
        <v>115425</v>
      </c>
      <c r="F45" s="43" t="n">
        <f aca="false">F26-F36</f>
        <v>115425</v>
      </c>
      <c r="G45" s="43" t="n">
        <f aca="false">G26-G36</f>
        <v>0</v>
      </c>
      <c r="H45" s="43" t="n">
        <f aca="false">H26-H36</f>
        <v>0</v>
      </c>
      <c r="I45" s="43" t="n">
        <f aca="false">I26-I36</f>
        <v>0</v>
      </c>
      <c r="J45" s="43" t="n">
        <f aca="false">J26-J36</f>
        <v>0</v>
      </c>
      <c r="K45" s="43" t="n">
        <f aca="false">K26-K36</f>
        <v>0</v>
      </c>
      <c r="L45" s="43" t="n">
        <f aca="false">L26-L36</f>
        <v>0</v>
      </c>
      <c r="M45" s="43" t="n">
        <f aca="false">M26-M36</f>
        <v>0</v>
      </c>
      <c r="N45" s="43" t="n">
        <f aca="false">N26-N36</f>
        <v>0</v>
      </c>
      <c r="O45" s="43" t="n">
        <f aca="false">O26-O36</f>
        <v>0</v>
      </c>
      <c r="P45" s="43" t="n">
        <f aca="false">P26-P36</f>
        <v>0</v>
      </c>
      <c r="Q45" s="43" t="n">
        <f aca="false">Q26-Q36</f>
        <v>0</v>
      </c>
      <c r="R45" s="43" t="n">
        <f aca="false">R26-R36</f>
        <v>0</v>
      </c>
      <c r="S45" s="43" t="n">
        <f aca="false">S26-S36</f>
        <v>0</v>
      </c>
      <c r="T45" s="43" t="n">
        <f aca="false">T26-T36</f>
        <v>0</v>
      </c>
    </row>
    <row r="46" customFormat="false" ht="15" hidden="false" customHeight="false" outlineLevel="0" collapsed="false">
      <c r="B46" s="3" t="s">
        <v>134</v>
      </c>
      <c r="C46" s="24" t="s">
        <v>56</v>
      </c>
      <c r="D46" s="37" t="n">
        <f aca="false">SUM(E46:T46)</f>
        <v>103058.035714286</v>
      </c>
      <c r="F46" s="37" t="n">
        <f aca="false">F45*F42</f>
        <v>103058.035714286</v>
      </c>
      <c r="G46" s="37" t="n">
        <f aca="false">G45*G42</f>
        <v>0</v>
      </c>
      <c r="H46" s="37" t="n">
        <f aca="false">H45*H42</f>
        <v>0</v>
      </c>
      <c r="I46" s="37" t="n">
        <f aca="false">I45*I42</f>
        <v>0</v>
      </c>
      <c r="J46" s="37" t="n">
        <f aca="false">J45*J42</f>
        <v>0</v>
      </c>
      <c r="K46" s="37" t="n">
        <f aca="false">K45*K42</f>
        <v>0</v>
      </c>
      <c r="L46" s="37" t="n">
        <f aca="false">L45*L42</f>
        <v>0</v>
      </c>
      <c r="M46" s="37" t="n">
        <f aca="false">M45*M42</f>
        <v>0</v>
      </c>
      <c r="N46" s="37" t="n">
        <f aca="false">N45*N42</f>
        <v>0</v>
      </c>
      <c r="O46" s="37" t="n">
        <f aca="false">O45*O42</f>
        <v>0</v>
      </c>
      <c r="P46" s="37" t="n">
        <f aca="false">P45*P42</f>
        <v>0</v>
      </c>
      <c r="Q46" s="37" t="n">
        <f aca="false">Q45*Q42</f>
        <v>0</v>
      </c>
      <c r="R46" s="37" t="n">
        <f aca="false">R45*R42</f>
        <v>0</v>
      </c>
      <c r="S46" s="37" t="n">
        <f aca="false">S45*S42</f>
        <v>0</v>
      </c>
      <c r="T46" s="37" t="n">
        <f aca="false">T45*T42</f>
        <v>0</v>
      </c>
    </row>
  </sheetData>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5" min="3" style="0" width="17"/>
    <col collapsed="false" customWidth="true" hidden="false" outlineLevel="0" max="6" min="6" style="0" width="9"/>
    <col collapsed="false" customWidth="true" hidden="false" outlineLevel="0" max="7" min="7" style="0" width="62"/>
    <col collapsed="false" customWidth="true" hidden="false" outlineLevel="0" max="8" min="8" style="0" width="2"/>
  </cols>
  <sheetData>
    <row r="1" customFormat="false" ht="24" hidden="false" customHeight="true" outlineLevel="0" collapsed="false">
      <c r="B1" s="16" t="s">
        <v>135</v>
      </c>
    </row>
    <row r="2" customFormat="false" ht="15" hidden="false" customHeight="false" outlineLevel="0" collapsed="false">
      <c r="B2" s="17" t="s">
        <v>136</v>
      </c>
    </row>
    <row r="3" customFormat="false" ht="15" hidden="false" customHeight="false" outlineLevel="0" collapsed="false">
      <c r="B3" s="18" t="s">
        <v>49</v>
      </c>
    </row>
    <row r="5" customFormat="false" ht="15" hidden="false" customHeight="false" outlineLevel="0" collapsed="false">
      <c r="B5" s="5" t="s">
        <v>137</v>
      </c>
      <c r="C5" s="5"/>
      <c r="D5" s="5"/>
      <c r="E5" s="5"/>
      <c r="F5" s="5"/>
      <c r="G5" s="5"/>
    </row>
    <row r="6" customFormat="false" ht="15" hidden="false" customHeight="false" outlineLevel="0" collapsed="false">
      <c r="B6" s="19" t="s">
        <v>138</v>
      </c>
      <c r="C6" s="20" t="s">
        <v>139</v>
      </c>
      <c r="D6" s="20" t="s">
        <v>140</v>
      </c>
      <c r="E6" s="20" t="s">
        <v>141</v>
      </c>
      <c r="F6" s="19" t="s">
        <v>52</v>
      </c>
      <c r="G6" s="19" t="s">
        <v>142</v>
      </c>
    </row>
    <row r="7" customFormat="false" ht="15" hidden="false" customHeight="false" outlineLevel="0" collapsed="false">
      <c r="B7" s="3" t="s">
        <v>143</v>
      </c>
      <c r="C7" s="45" t="n">
        <f aca="false">Calculations!E28+NPV(Discount_Rate,Calculations!F28:T28)</f>
        <v>2441833.23172474</v>
      </c>
      <c r="D7" s="45" t="n">
        <f aca="false">Calculations!E38+NPV(Discount_Rate,Calculations!F38:T38)</f>
        <v>2544891.26743903</v>
      </c>
      <c r="E7" s="29" t="n">
        <f aca="false">D7-C7</f>
        <v>103058.035714285</v>
      </c>
      <c r="F7" s="46" t="s">
        <v>56</v>
      </c>
      <c r="G7" s="24" t="s">
        <v>144</v>
      </c>
    </row>
    <row r="8" customFormat="false" ht="15" hidden="false" customHeight="false" outlineLevel="0" collapsed="false">
      <c r="B8" s="3" t="s">
        <v>145</v>
      </c>
      <c r="C8" s="47" t="n">
        <f aca="false">IRR(Calculations!E28:T28)</f>
        <v>0.260698981072941</v>
      </c>
      <c r="D8" s="47" t="n">
        <f aca="false">IRR(Calculations!E38:T38)</f>
        <v>0.268998495461452</v>
      </c>
      <c r="E8" s="48" t="n">
        <f aca="false">D8-C8</f>
        <v>0.00829951438851095</v>
      </c>
      <c r="F8" s="46" t="s">
        <v>78</v>
      </c>
      <c r="G8" s="24" t="s">
        <v>146</v>
      </c>
    </row>
    <row r="9" customFormat="false" ht="15" hidden="false" customHeight="false" outlineLevel="0" collapsed="false">
      <c r="B9" s="3" t="s">
        <v>147</v>
      </c>
      <c r="C9" s="49" t="n">
        <f aca="false">EE_Capex/(Calculations!F13-Calculations!F14)</f>
        <v>3.72340425531915</v>
      </c>
      <c r="D9" s="49" t="n">
        <f aca="false">EE_Capex/(Calculations!F13-Calculations!F14)</f>
        <v>3.72340425531915</v>
      </c>
      <c r="E9" s="50" t="n">
        <f aca="false">D9-C9</f>
        <v>0</v>
      </c>
      <c r="F9" s="46" t="s">
        <v>62</v>
      </c>
      <c r="G9" s="24" t="s">
        <v>148</v>
      </c>
    </row>
    <row r="10" customFormat="false" ht="15" hidden="false" customHeight="false" outlineLevel="0" collapsed="false">
      <c r="B10" s="4" t="s">
        <v>149</v>
      </c>
      <c r="C10" s="51" t="n">
        <f aca="false">Calculations!D28</f>
        <v>7455345.61656551</v>
      </c>
      <c r="D10" s="51" t="n">
        <f aca="false">Calculations!D38</f>
        <v>7570770.61656551</v>
      </c>
      <c r="E10" s="29" t="n">
        <f aca="false">D10-C10</f>
        <v>115425</v>
      </c>
      <c r="F10" s="46" t="s">
        <v>56</v>
      </c>
      <c r="G10" s="24" t="s">
        <v>150</v>
      </c>
    </row>
    <row r="11" customFormat="false" ht="15" hidden="false" customHeight="false" outlineLevel="0" collapsed="false">
      <c r="B11" s="4" t="s">
        <v>151</v>
      </c>
      <c r="C11" s="29" t="n">
        <f aca="false">0</f>
        <v>0</v>
      </c>
      <c r="D11" s="51" t="n">
        <f aca="false">Calculations!D20</f>
        <v>427500</v>
      </c>
      <c r="E11" s="29" t="n">
        <f aca="false">D11-C11</f>
        <v>427500</v>
      </c>
      <c r="F11" s="46" t="s">
        <v>56</v>
      </c>
      <c r="G11" s="24" t="s">
        <v>152</v>
      </c>
    </row>
    <row r="12" customFormat="false" ht="15" hidden="false" customHeight="false" outlineLevel="0" collapsed="false">
      <c r="B12" s="4" t="s">
        <v>153</v>
      </c>
      <c r="C12" s="29" t="n">
        <f aca="false">0</f>
        <v>0</v>
      </c>
      <c r="D12" s="51" t="n">
        <f aca="false">Calculations!D45</f>
        <v>115425</v>
      </c>
      <c r="E12" s="29" t="n">
        <f aca="false">D12-C12</f>
        <v>115425</v>
      </c>
      <c r="F12" s="46" t="s">
        <v>56</v>
      </c>
      <c r="G12" s="24" t="s">
        <v>154</v>
      </c>
    </row>
    <row r="14" customFormat="false" ht="15" hidden="false" customHeight="false" outlineLevel="0" collapsed="false">
      <c r="B14" s="5" t="s">
        <v>155</v>
      </c>
      <c r="C14" s="5"/>
      <c r="D14" s="5"/>
      <c r="E14" s="5"/>
      <c r="F14" s="5"/>
      <c r="G14" s="5"/>
    </row>
    <row r="15" customFormat="false" ht="15" hidden="false" customHeight="false" outlineLevel="0" collapsed="false">
      <c r="B15" s="4" t="s">
        <v>156</v>
      </c>
      <c r="D15" s="52" t="n">
        <f aca="false">Energy_Saved_kWh</f>
        <v>450000</v>
      </c>
      <c r="F15" s="46" t="s">
        <v>111</v>
      </c>
      <c r="G15" s="24" t="s">
        <v>157</v>
      </c>
    </row>
    <row r="16" customFormat="false" ht="15" hidden="false" customHeight="false" outlineLevel="0" collapsed="false">
      <c r="B16" s="4" t="s">
        <v>158</v>
      </c>
      <c r="D16" s="51" t="n">
        <f aca="false">Calculations!F13</f>
        <v>990000</v>
      </c>
      <c r="F16" s="46" t="s">
        <v>56</v>
      </c>
      <c r="G16" s="24" t="s">
        <v>159</v>
      </c>
    </row>
    <row r="17" customFormat="false" ht="15" hidden="false" customHeight="false" outlineLevel="0" collapsed="false">
      <c r="B17" s="4" t="s">
        <v>92</v>
      </c>
      <c r="D17" s="51" t="n">
        <f aca="false">Calculations!F15</f>
        <v>940000</v>
      </c>
      <c r="F17" s="46" t="s">
        <v>56</v>
      </c>
      <c r="G17" s="24" t="s">
        <v>160</v>
      </c>
    </row>
    <row r="18" customFormat="false" ht="15" hidden="false" customHeight="false" outlineLevel="0" collapsed="false">
      <c r="B18" s="4" t="s">
        <v>96</v>
      </c>
      <c r="D18" s="51" t="n">
        <f aca="false">Allowance_12L_Annual</f>
        <v>427500</v>
      </c>
      <c r="F18" s="46" t="s">
        <v>56</v>
      </c>
      <c r="G18" s="24" t="s">
        <v>161</v>
      </c>
    </row>
    <row r="19" customFormat="false" ht="15" hidden="false" customHeight="false" outlineLevel="0" collapsed="false">
      <c r="B19" s="4" t="s">
        <v>162</v>
      </c>
      <c r="D19" s="53" t="n">
        <f aca="false">Tax_Value_12L_per_kWh</f>
        <v>0.2565</v>
      </c>
      <c r="F19" s="46" t="s">
        <v>66</v>
      </c>
      <c r="G19" s="24" t="s">
        <v>163</v>
      </c>
    </row>
    <row r="20" customFormat="false" ht="15" hidden="false" customHeight="false" outlineLevel="0" collapsed="false">
      <c r="B20" s="4" t="s">
        <v>164</v>
      </c>
      <c r="D20" s="51" t="n">
        <f aca="false">Calculations!D46</f>
        <v>103058.035714286</v>
      </c>
      <c r="F20" s="46" t="s">
        <v>56</v>
      </c>
      <c r="G20" s="24" t="s">
        <v>165</v>
      </c>
    </row>
    <row r="21" customFormat="false" ht="15" hidden="false" customHeight="false" outlineLevel="0" collapsed="false">
      <c r="B21" s="4" t="s">
        <v>166</v>
      </c>
      <c r="D21" s="54" t="n">
        <f aca="false">D12/EE_Capex</f>
        <v>0.0329785714285714</v>
      </c>
      <c r="F21" s="46" t="s">
        <v>78</v>
      </c>
      <c r="G21" s="24" t="s">
        <v>167</v>
      </c>
    </row>
    <row r="23" customFormat="false" ht="15" hidden="false" customHeight="false" outlineLevel="0" collapsed="false">
      <c r="B23" s="5" t="s">
        <v>168</v>
      </c>
      <c r="C23" s="5"/>
      <c r="D23" s="5"/>
      <c r="E23" s="5"/>
      <c r="F23" s="5"/>
      <c r="G23" s="5"/>
    </row>
    <row r="24" customFormat="false" ht="15" hidden="false" customHeight="false" outlineLevel="0" collapsed="false">
      <c r="B24" s="19" t="s">
        <v>169</v>
      </c>
      <c r="C24" s="20" t="s">
        <v>170</v>
      </c>
      <c r="D24" s="20" t="s">
        <v>171</v>
      </c>
      <c r="E24" s="20" t="s">
        <v>172</v>
      </c>
      <c r="G24" s="19" t="s">
        <v>173</v>
      </c>
    </row>
    <row r="25" customFormat="false" ht="15" hidden="false" customHeight="false" outlineLevel="0" collapsed="false">
      <c r="B25" s="4" t="str">
        <f aca="false">"Claimed for "&amp;C25&amp;IF(C25=1," year"," years")</f>
        <v>Claimed for 0 years</v>
      </c>
      <c r="C25" s="26" t="n">
        <v>0</v>
      </c>
      <c r="D25" s="29" t="n">
        <f aca="false">C7+PV(Discount_Rate,MIN(C25,Project_Life),-Tax_Rate*Allowance_12L_Rate*Energy_Saved_kWh)</f>
        <v>2441833.23172474</v>
      </c>
      <c r="E25" s="29" t="n">
        <f aca="false">D25-C7</f>
        <v>0</v>
      </c>
      <c r="G25" s="24" t="s">
        <v>174</v>
      </c>
    </row>
    <row r="26" customFormat="false" ht="15" hidden="false" customHeight="false" outlineLevel="0" collapsed="false">
      <c r="B26" s="4" t="str">
        <f aca="false">"Claimed for "&amp;C26&amp;IF(C26=1," year"," years")</f>
        <v>Claimed for 1 year</v>
      </c>
      <c r="C26" s="26" t="n">
        <v>1</v>
      </c>
      <c r="D26" s="29" t="n">
        <f aca="false">C7+PV(Discount_Rate,MIN(C26,Project_Life),-Tax_Rate*Allowance_12L_Rate*Energy_Saved_kWh)</f>
        <v>2544891.26743903</v>
      </c>
      <c r="E26" s="29" t="n">
        <f aca="false">D26-C7</f>
        <v>103058.035714286</v>
      </c>
      <c r="G26" s="24" t="s">
        <v>175</v>
      </c>
    </row>
    <row r="27" customFormat="false" ht="15" hidden="false" customHeight="false" outlineLevel="0" collapsed="false">
      <c r="B27" s="4" t="str">
        <f aca="false">"Claimed for "&amp;C27&amp;IF(C27=1," year"," years")</f>
        <v>Claimed for 2 years</v>
      </c>
      <c r="C27" s="26" t="n">
        <v>2</v>
      </c>
      <c r="D27" s="29" t="n">
        <f aca="false">C7+PV(Discount_Rate,MIN(C27,Project_Life),-Tax_Rate*Allowance_12L_Rate*Energy_Saved_kWh)</f>
        <v>2636907.37075536</v>
      </c>
      <c r="E27" s="29" t="n">
        <f aca="false">D27-C7</f>
        <v>195074.139030613</v>
      </c>
      <c r="G27" s="24" t="s">
        <v>176</v>
      </c>
    </row>
    <row r="28" customFormat="false" ht="15" hidden="false" customHeight="false" outlineLevel="0" collapsed="false">
      <c r="B28" s="4" t="str">
        <f aca="false">"Claimed for "&amp;C28&amp;IF(C28=1," year"," years")</f>
        <v>Claimed for 3 years</v>
      </c>
      <c r="C28" s="26" t="n">
        <v>3</v>
      </c>
      <c r="D28" s="29" t="n">
        <f aca="false">C7+PV(Discount_Rate,MIN(C28,Project_Life),-Tax_Rate*Allowance_12L_Rate*Energy_Saved_kWh)</f>
        <v>2719064.60585922</v>
      </c>
      <c r="E28" s="29" t="n">
        <f aca="false">D28-C7</f>
        <v>277231.374134475</v>
      </c>
      <c r="G28" s="24" t="s">
        <v>176</v>
      </c>
    </row>
    <row r="29" customFormat="false" ht="15" hidden="false" customHeight="false" outlineLevel="0" collapsed="false">
      <c r="B29" s="24" t="s">
        <v>177</v>
      </c>
    </row>
    <row r="31" customFormat="false" ht="15" hidden="false" customHeight="false" outlineLevel="0" collapsed="false">
      <c r="B31" s="5" t="s">
        <v>178</v>
      </c>
      <c r="C31" s="5"/>
      <c r="D31" s="5"/>
      <c r="E31" s="5"/>
      <c r="F31" s="5"/>
      <c r="G31" s="5"/>
    </row>
    <row r="32" customFormat="false" ht="15" hidden="false" customHeight="false" outlineLevel="0" collapsed="false">
      <c r="B32" s="4" t="s">
        <v>179</v>
      </c>
      <c r="C32" s="55" t="str">
        <f aca="false">IF(ABS(D7-C7-Calculations!D46)&lt;0.01,"OK","ERROR")</f>
        <v>OK</v>
      </c>
    </row>
    <row r="33" customFormat="false" ht="15" hidden="false" customHeight="false" outlineLevel="0" collapsed="false">
      <c r="B33" s="4" t="s">
        <v>180</v>
      </c>
      <c r="C33" s="55" t="str">
        <f aca="false">IF(AND(ABS(C7-Calculations!D43)&lt;0.01,ABS(D7-Calculations!D44)&lt;0.01),"OK","ERROR")</f>
        <v>OK</v>
      </c>
    </row>
    <row r="34" customFormat="false" ht="15" hidden="false" customHeight="false" outlineLevel="0" collapsed="false">
      <c r="B34" s="4" t="s">
        <v>181</v>
      </c>
      <c r="C34" s="55" t="str">
        <f aca="false">IF(ABS(Calculations!D19-EE_Capex)&lt;0.01,"OK","ERROR")</f>
        <v>OK</v>
      </c>
    </row>
    <row r="35" customFormat="false" ht="15" hidden="false" customHeight="false" outlineLevel="0" collapsed="false">
      <c r="B35" s="4" t="s">
        <v>182</v>
      </c>
      <c r="C35" s="55" t="str">
        <f aca="false">IF(AND(Years_12L&lt;=Project_Life,Dep_Years&lt;=Project_Life),"OK","ERROR")</f>
        <v>OK</v>
      </c>
    </row>
    <row r="36" customFormat="false" ht="15" hidden="false" customHeight="false" outlineLevel="0" collapsed="false">
      <c r="B36" s="4" t="s">
        <v>183</v>
      </c>
      <c r="C36" s="55" t="str">
        <f aca="false">IF(AND(Project_Life&gt;=1,Project_Life&lt;=15),"OK","ERROR")</f>
        <v>OK</v>
      </c>
    </row>
    <row r="37" customFormat="false" ht="15" hidden="false" customHeight="false" outlineLevel="0" collapsed="false">
      <c r="B37" s="4" t="s">
        <v>184</v>
      </c>
      <c r="C37" s="55" t="str">
        <f aca="false">IF(ABS(Calculations!D20-Allowance_12L_Rate*Energy_Saved_kWh*MIN(Years_12L,Project_Life))&lt;0.01,"OK","ERROR")</f>
        <v>OK</v>
      </c>
    </row>
    <row r="38" customFormat="false" ht="15" hidden="false" customHeight="false" outlineLevel="0" collapsed="false">
      <c r="B38" s="3" t="s">
        <v>185</v>
      </c>
      <c r="C38" s="56" t="str">
        <f aca="false">IF(COUNTIF(C32:C37,"OK")=6,"OK","CHECK")</f>
        <v>OK</v>
      </c>
    </row>
    <row r="40" customFormat="false" ht="15" hidden="false" customHeight="false" outlineLevel="0" collapsed="false">
      <c r="B40" s="24" t="s">
        <v>186</v>
      </c>
    </row>
  </sheetData>
  <conditionalFormatting sqref="C32:C38">
    <cfRule type="cellIs" priority="2" operator="equal" aboveAverage="0" equalAverage="0" bottom="0" percent="0" rank="0" text="" dxfId="0">
      <formula>"OK"</formula>
    </cfRule>
    <cfRule type="cellIs" priority="3" operator="notEqual" aboveAverage="0" equalAverage="0" bottom="0" percent="0" rank="0" text="" dxfId="1">
      <formula>"OK"</formula>
    </cfRule>
  </conditionalFormatting>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2026-10-14T05:45:17Z</dcterms:created>
  <dc:creator>[Your name], Certified Energy Manager</dc:creator>
  <dc:description/>
  <dc:language>en-US</dc:language>
  <cp:lastModifiedBy/>
  <dcterms:modified xsi:type="dcterms:W3CDTF">2026-10-14T05:45:24Z</dcterms:modified>
  <cp:revision>1</cp:revision>
  <dc:subject/>
  <dc:title>Energy-Efficiency Upgrade – Section 12L Business Case (illustrative reference case)</dc:title>
</cp:coreProperties>
</file>

<file path=docProps/custom.xml><?xml version="1.0" encoding="utf-8"?>
<Properties xmlns="http://schemas.openxmlformats.org/officeDocument/2006/custom-properties" xmlns:vt="http://schemas.openxmlformats.org/officeDocument/2006/docPropsVTypes"/>
</file>