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puts" sheetId="2" state="visible" r:id="rId4"/>
    <sheet name="Calculations" sheetId="3" state="visible" r:id="rId5"/>
    <sheet name="Outputs" sheetId="4" state="visible" r:id="rId6"/>
    <sheet name="Sensitivity" sheetId="5" state="visible" r:id="rId7"/>
  </sheets>
  <definedNames>
    <definedName function="false" hidden="false" localSheetId="2" name="_xlnm.Print_Titles" vbProcedure="false">Calculations!$B:$D,Calculations!$5:$5</definedName>
    <definedName function="false" hidden="false" localSheetId="4" name="_xlnm.Print_Titles" vbProcedure="false">Sensitivity!$B:$D</definedName>
    <definedName function="false" hidden="false" name="Capex_per_Wp" vbProcedure="false">Inputs!$C$12</definedName>
    <definedName function="false" hidden="false" name="Capex_Total" vbProcedure="false">Inputs!$C$44</definedName>
    <definedName function="false" hidden="false" name="Debt_Amount" vbProcedure="false">Inputs!$C$45</definedName>
    <definedName function="false" hidden="false" name="Debt_Service_Annual" vbProcedure="false">Inputs!$C$47</definedName>
    <definedName function="false" hidden="false" name="Debt_Tenor" vbProcedure="false">Inputs!$C$26</definedName>
    <definedName function="false" hidden="false" name="Degradation_Rate" vbProcedure="false">Inputs!$C$9</definedName>
    <definedName function="false" hidden="false" name="DSCR_Threshold" vbProcedure="false">Inputs!$C$37</definedName>
    <definedName function="false" hidden="false" name="Equity_Amount" vbProcedure="false">Inputs!$C$46</definedName>
    <definedName function="false" hidden="false" name="Equity_Discount_Rate" vbProcedure="false">Inputs!$C$35</definedName>
    <definedName function="false" hidden="false" name="Gearing" vbProcedure="false">Inputs!$C$24</definedName>
    <definedName function="false" hidden="false" name="Gen_Y1" vbProcedure="false">Inputs!$C$48</definedName>
    <definedName function="false" hidden="false" name="Interest_Rate" vbProcedure="false">Inputs!$C$25</definedName>
    <definedName function="false" hidden="false" name="LCOE_Discount_Rate" vbProcedure="false">Inputs!$C$36</definedName>
    <definedName function="false" hidden="false" name="Opex_Escalation" vbProcedure="false">Inputs!$C$16</definedName>
    <definedName function="false" hidden="false" name="Opex_per_kWp" vbProcedure="false">Inputs!$C$15</definedName>
    <definedName function="false" hidden="false" name="Opex_Y1" vbProcedure="false">Inputs!$C$49</definedName>
    <definedName function="false" hidden="false" name="PPA_Term" vbProcedure="false">Inputs!$C$21</definedName>
    <definedName function="false" hidden="false" name="Sens_Capex_Flex" vbProcedure="false">Inputs!$C$41</definedName>
    <definedName function="false" hidden="false" name="Sens_Tariff_Flex" vbProcedure="false">Inputs!$C$40</definedName>
    <definedName function="false" hidden="false" name="Size_kWp" vbProcedure="false">Inputs!$C$7</definedName>
    <definedName function="false" hidden="false" name="Specific_Yield" vbProcedure="false">Inputs!$C$8</definedName>
    <definedName function="false" hidden="false" name="Tariff_Escalation" vbProcedure="false">Inputs!$C$20</definedName>
    <definedName function="false" hidden="false" name="Tariff_Y1" vbProcedure="false">Inputs!$C$19</definedName>
    <definedName function="false" hidden="false" name="Tax_Dep_Total" vbProcedure="false">Inputs!$C$50</definedName>
    <definedName function="false" hidden="false" name="Tax_Dep_Y1" vbProcedure="false">Inputs!$C$30</definedName>
    <definedName function="false" hidden="false" name="Tax_Dep_Y2" vbProcedure="false">Inputs!$C$31</definedName>
    <definedName function="false" hidden="false" name="Tax_Dep_Y3" vbProcedure="false">Inputs!$C$32</definedName>
    <definedName function="false" hidden="false" name="Tax_Rate" vbProcedure="false">Inputs!$C$29</definedName>
    <definedName function="false" hidden="false" localSheetId="2" name="_xlnm.Print_Titles" vbProcedure="false">Calculations!$5:$5,Calculations!$B:$D</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<sst xmlns="http://schemas.openxmlformats.org/spreadsheetml/2006/main" count="785" uniqueCount="287">
  <si>
    <t xml:space="preserve">Rooftop Solar PPA – Project Finance Model (1 MWp)</t>
  </si>
  <si>
    <t xml:space="preserve">Illustrative reference case</t>
  </si>
  <si>
    <t xml:space="preserve">Prepared by</t>
  </si>
  <si>
    <t xml:space="preserve">[Your name], Certified Energy Manager</t>
  </si>
  <si>
    <t xml:space="preserve">Version / date</t>
  </si>
  <si>
    <t xml:space="preserve">v1.0 – October 2026</t>
  </si>
  <si>
    <t xml:space="preserve">Currency / basis</t>
  </si>
  <si>
    <t xml:space="preserve">South African rand (ZAR), nominal; annual periods, end-of-year cash flows</t>
  </si>
  <si>
    <t xml:space="preserve">Purpose</t>
  </si>
  <si>
    <t xml:space="preserve">Annual, nominal-rand project-finance model of a 1 MWp commercial rooftop PV plant that sells its output to the building owner under a 20-year power purchase agreement (PPA), funded 65% with amortising senior debt and 35% with equity. It calculates unlevered project and equity returns, debt service cover ratios (DSCR), equity NPV, the levelised cost of energy (LCOE) and equity payback, and flexes tariff and capex in formula-driven scenarios.</t>
  </si>
  <si>
    <t xml:space="preserve">All inputs are illustrative assumptions chosen to demonstrate the method. They are not drawn from any employer, client or real project. Nothing in this workbook is investment, tax or legal advice.</t>
  </si>
  <si>
    <t xml:space="preserve">Workbook map</t>
  </si>
  <si>
    <t xml:space="preserve">Cover</t>
  </si>
  <si>
    <t xml:space="preserve">This page: purpose, workbook map, how to use, colour key, simplifications.</t>
  </si>
  <si>
    <t xml:space="preserve">Inputs</t>
  </si>
  <si>
    <t xml:space="preserve">Every assumption in one place (blue cells), with units and source/notes. Key inputs are named ranges.</t>
  </si>
  <si>
    <t xml:space="preserve">Calculations</t>
  </si>
  <si>
    <t xml:space="preserve">Annual timeline (year 0 to 25, flag-driven) in grouped blocks: generation &amp; revenue, opex &amp; EBITDA, capex &amp; tax depreciation, senior debt, levered tax, CFADS &amp; DSCR, equity cash flow, unlevered project cash flow, LCOE and equity discounting.</t>
  </si>
  <si>
    <t xml:space="preserve">Outputs</t>
  </si>
  <si>
    <t xml:space="preserve">Dashboard: headline metrics, key figures, integrity checks and charts (cash flow, DSCR, payback).</t>
  </si>
  <si>
    <t xml:space="preserve">Sensitivity</t>
  </si>
  <si>
    <t xml:space="preserve">Tariff ±10% and capex ±10% effect on equity IRR and minimum DSCR. Each scenario is a full formula re-run (no Excel data tables), so it recalculates in Excel, LibreOffice and Google Sheets.</t>
  </si>
  <si>
    <t xml:space="preserve">How to use</t>
  </si>
  <si>
    <t xml:space="preserve">Step 1</t>
  </si>
  <si>
    <t xml:space="preserve">Change only the blue-on-yellow cells on the Inputs sheet (term up to 25 years; tenor must not exceed term).</t>
  </si>
  <si>
    <t xml:space="preserve">Step 2</t>
  </si>
  <si>
    <t xml:space="preserve">Read the results on Outputs. All downstream cells are formulas and update automatically.</t>
  </si>
  <si>
    <t xml:space="preserve">Step 3</t>
  </si>
  <si>
    <t xml:space="preserve">Confirm the 'Model integrity checks' block on Outputs shows OK for every line before using a result.</t>
  </si>
  <si>
    <t xml:space="preserve">Step 4</t>
  </si>
  <si>
    <t xml:space="preserve">Use the Sensitivity sheet for one-way and two-way tariff/capex flexes; the flex sizes are inputs on Inputs.</t>
  </si>
  <si>
    <t xml:space="preserve">Step 5</t>
  </si>
  <si>
    <t xml:space="preserve">Charts are set to the reference term (20 years) and tenor (10 years); extend their ranges if you lengthen either.</t>
  </si>
  <si>
    <t xml:space="preserve">Colour key</t>
  </si>
  <si>
    <t xml:space="preserve">1,000</t>
  </si>
  <si>
    <t xml:space="preserve">Input / assumption (blue font, yellow fill) – the only cells you should edit</t>
  </si>
  <si>
    <t xml:space="preserve">Calculation (black font) – formula, do not overwrite</t>
  </si>
  <si>
    <t xml:space="preserve">Direct link to another sheet (green font)</t>
  </si>
  <si>
    <t xml:space="preserve">OK</t>
  </si>
  <si>
    <t xml:space="preserve">Integrity check passed (red fill = check failed)</t>
  </si>
  <si>
    <t xml:space="preserve">Key simplifications</t>
  </si>
  <si>
    <t xml:space="preserve">•</t>
  </si>
  <si>
    <t xml:space="preserve">No residual/terminal value at the end of the PPA term.</t>
  </si>
  <si>
    <t xml:space="preserve">No debt service reserve account (DSRA), no debt fees, no interest during construction, no hedging.</t>
  </si>
  <si>
    <t xml:space="preserve">No inverter replacement or other lifecycle capex.</t>
  </si>
  <si>
    <t xml:space="preserve">VAT ignored (tariffs, capex and opex are VAT-exclusive).</t>
  </si>
  <si>
    <t xml:space="preserve">Annual periods with end-of-year cash flows; capex and debt drawdown at year 0, operations from year 1, no construction period.</t>
  </si>
  <si>
    <t xml:space="preserve">No working capital, no dividend lock-up or cash sweep; all cash after debt service is distributed to equity.</t>
  </si>
  <si>
    <t xml:space="preserve">Tax: 27% rate; s12B 100% year-1 allowance; assessed losses carried forward indefinitely and set off in full (the s20 cap on set-off – greater of R1m or 80% of taxable income – is ignored, per the shared spec).</t>
  </si>
  <si>
    <t xml:space="preserve">Formulas only downstream of Inputs; IRR and NPV via Excel functions. The workbook was recalculated in LibreOffice and cross-checked against an independent Python implementation of the same specification.</t>
  </si>
  <si>
    <t xml:space="preserve">Inputs – all assumptions</t>
  </si>
  <si>
    <t xml:space="preserve">Blue-on-yellow cells are inputs. Every downstream cell is a formula. Each input is a named range (shown in brackets) so formulas read in plain language.</t>
  </si>
  <si>
    <t xml:space="preserve">ILLUSTRATIVE REFERENCE CASE – not based on any real project, client or employer data</t>
  </si>
  <si>
    <t xml:space="preserve">Assumption</t>
  </si>
  <si>
    <t xml:space="preserve">Value</t>
  </si>
  <si>
    <t xml:space="preserve">Unit</t>
  </si>
  <si>
    <t xml:space="preserve">Source / notes (named range in brackets)</t>
  </si>
  <si>
    <t xml:space="preserve">Technical</t>
  </si>
  <si>
    <t xml:space="preserve">System size (DC nameplate)</t>
  </si>
  <si>
    <t xml:space="preserve">kWp</t>
  </si>
  <si>
    <t xml:space="preserve">Reference case 1 MWp rooftop PV. Illustrative.  [Size_kWp]</t>
  </si>
  <si>
    <t xml:space="preserve">Specific yield, year 1</t>
  </si>
  <si>
    <t xml:space="preserve">kWh/kWp/yr</t>
  </si>
  <si>
    <t xml:space="preserve">Year-1 P50 yield per kWp. Illustrative; in practice from a site-specific energy yield assessment.  [Specific_Yield]</t>
  </si>
  <si>
    <t xml:space="preserve">Annual module degradation</t>
  </si>
  <si>
    <t xml:space="preserve">%/yr</t>
  </si>
  <si>
    <t xml:space="preserve">generation_y = size × yield × (1 − degradation)^(y − 1).  [Degradation_Rate]</t>
  </si>
  <si>
    <t xml:space="preserve">Capital cost</t>
  </si>
  <si>
    <t xml:space="preserve">EPC capital cost</t>
  </si>
  <si>
    <t xml:space="preserve">R/Wp</t>
  </si>
  <si>
    <t xml:space="preserve">Turnkey cost incl. grid connection, excl. VAT; incurred at year 0. Illustrative.  [Capex_per_Wp]</t>
  </si>
  <si>
    <t xml:space="preserve">Operating costs</t>
  </si>
  <si>
    <t xml:space="preserve">O&amp;M, insurance and monitoring, year 1</t>
  </si>
  <si>
    <t xml:space="preserve">R/kWp/yr</t>
  </si>
  <si>
    <t xml:space="preserve">Escalates with CPI: opex_y = rate × size × (1 + CPI)^(y − 1). Illustrative.  [Opex_per_kWp]</t>
  </si>
  <si>
    <t xml:space="preserve">Opex escalation (CPI)</t>
  </si>
  <si>
    <t xml:space="preserve">Illustrative CPI assumption.  [Opex_Escalation]</t>
  </si>
  <si>
    <t xml:space="preserve">Revenue (PPA)</t>
  </si>
  <si>
    <t xml:space="preserve">PPA tariff, year 1</t>
  </si>
  <si>
    <t xml:space="preserve">R/kWh</t>
  </si>
  <si>
    <t xml:space="preserve">VAT-exclusive energy tariff paid by the offtaker for every kWh generated. Illustrative.  [Tariff_Y1]</t>
  </si>
  <si>
    <t xml:space="preserve">PPA tariff escalation</t>
  </si>
  <si>
    <t xml:space="preserve">tariff_y = tariff_1 × (1 + escalation)^(y − 1).  [Tariff_Escalation]</t>
  </si>
  <si>
    <t xml:space="preserve">PPA term / model horizon</t>
  </si>
  <si>
    <t xml:space="preserve">years</t>
  </si>
  <si>
    <t xml:space="preserve">Whole years 1–25 (timeline capacity 25). Operating flag switches cash flows off after the term.  [PPA_Term]</t>
  </si>
  <si>
    <t xml:space="preserve">Financing</t>
  </si>
  <si>
    <t xml:space="preserve">Senior debt as % of capex</t>
  </si>
  <si>
    <t xml:space="preserve">% of capex</t>
  </si>
  <si>
    <t xml:space="preserve">Debt drawn in full at year 0.  [Gearing]</t>
  </si>
  <si>
    <t xml:space="preserve">Senior debt interest rate (all-in)</t>
  </si>
  <si>
    <t xml:space="preserve">% p.a.</t>
  </si>
  <si>
    <t xml:space="preserve">Nominal fixed all-in rate. No fees, commitment charges or hedging.  [Interest_Rate]</t>
  </si>
  <si>
    <t xml:space="preserve">Debt tenor</t>
  </si>
  <si>
    <t xml:space="preserve">Level annuity (equal annual debt service) paid annually in arrears from year 1. Must not exceed the term.  [Debt_Tenor]</t>
  </si>
  <si>
    <t xml:space="preserve">Tax</t>
  </si>
  <si>
    <t xml:space="preserve">Corporate income tax rate</t>
  </si>
  <si>
    <t xml:space="preserve">%</t>
  </si>
  <si>
    <t xml:space="preserve">SA company rate for years of assessment ending on/after 31 March 2023.  [Tax_Rate]</t>
  </si>
  <si>
    <t xml:space="preserve">Tax depreciation – year 1</t>
  </si>
  <si>
    <t xml:space="preserve">s12B: PV not exceeding 1 MW = 100% in the year first brought into use (reference assumption; see NOTES.md).  [Tax_Dep_Y1]</t>
  </si>
  <si>
    <t xml:space="preserve">Tax depreciation – year 2</t>
  </si>
  <si>
    <t xml:space="preserve">PV above 1 MW: s12B gives 50% / 30% / 20% over three years – enter 50%, 30%, 20% to test that case.  [Tax_Dep_Y2]</t>
  </si>
  <si>
    <t xml:space="preserve">Tax depreciation – year 3</t>
  </si>
  <si>
    <t xml:space="preserve">Profile must total 100% (check below). s12BA (125%) lapsed for assets brought into use after 28 Feb 2025.  [Tax_Dep_Y3]</t>
  </si>
  <si>
    <t xml:space="preserve">Valuation</t>
  </si>
  <si>
    <t xml:space="preserve">Equity discount rate</t>
  </si>
  <si>
    <t xml:space="preserve">Nominal post-tax cost of equity used for equity NPV (year 0 undiscounted, end-of-year discounting).  [Equity_Discount_Rate]</t>
  </si>
  <si>
    <t xml:space="preserve">LCOE discount rate</t>
  </si>
  <si>
    <t xml:space="preserve">Nominal pre-tax: LCOE = [capex + Σ opex_y/(1+r)^y] / [Σ generation_y/(1+r)^y].  [LCOE_Discount_Rate]</t>
  </si>
  <si>
    <t xml:space="preserve">Reference DSCR threshold (display only)</t>
  </si>
  <si>
    <t xml:space="preserve">x</t>
  </si>
  <si>
    <t xml:space="preserve">Illustrative lender comfort level for the DSCR chart and headroom metric. Does not size the debt.  [DSCR_Threshold]</t>
  </si>
  <si>
    <t xml:space="preserve">Sensitivity flexes</t>
  </si>
  <si>
    <t xml:space="preserve">Tariff flex (±)</t>
  </si>
  <si>
    <t xml:space="preserve">Applied to the tariff in every year on the Sensitivity sheet.  [Sens_Tariff_Flex]</t>
  </si>
  <si>
    <t xml:space="preserve">Capex flex (±)</t>
  </si>
  <si>
    <t xml:space="preserve">Applied to capex on the Sensitivity sheet; debt stays at the gearing % of the flexed capex.  [Sens_Capex_Flex]</t>
  </si>
  <si>
    <t xml:space="preserve">Derived values (formulas – do not edit)</t>
  </si>
  <si>
    <t xml:space="preserve">Total capital cost</t>
  </si>
  <si>
    <t xml:space="preserve">R</t>
  </si>
  <si>
    <t xml:space="preserve">Size (kWp) × 1,000 W/kW × R/Wp.  [Capex_Total]</t>
  </si>
  <si>
    <t xml:space="preserve">Senior debt</t>
  </si>
  <si>
    <t xml:space="preserve">Capex × gearing.  [Debt_Amount]</t>
  </si>
  <si>
    <t xml:space="preserve">Equity contribution</t>
  </si>
  <si>
    <t xml:space="preserve">Capex − senior debt.  [Equity_Amount]</t>
  </si>
  <si>
    <t xml:space="preserve">Annual debt service (level annuity)</t>
  </si>
  <si>
    <t xml:space="preserve">R/yr</t>
  </si>
  <si>
    <t xml:space="preserve">PMT(rate, tenor, debt): constant interest + principal each year of the tenor.  [Debt_Service_Annual]</t>
  </si>
  <si>
    <t xml:space="preserve">Generation, year 1</t>
  </si>
  <si>
    <t xml:space="preserve">kWh</t>
  </si>
  <si>
    <t xml:space="preserve">Size × specific yield.  [Gen_Y1]</t>
  </si>
  <si>
    <t xml:space="preserve">Opex, year 1</t>
  </si>
  <si>
    <t xml:space="preserve">R/kWp/yr × kWp.  [Opex_Y1]</t>
  </si>
  <si>
    <t xml:space="preserve">Tax depreciation profile total</t>
  </si>
  <si>
    <t xml:space="preserve">Must equal 100% (checked on Outputs).  [Tax_Dep_Total]</t>
  </si>
  <si>
    <t xml:space="preserve">Tax notes (plain notes – not modelled)</t>
  </si>
  <si>
    <t xml:space="preserve">1 MW threshold (s12B)</t>
  </si>
  <si>
    <t xml:space="preserve">The 100% year-1 allowance applies to PV 'not exceeding 1 MW'. This 1 MWp (DC) plant sits exactly at the threshold; confirm with a tax adviser whether capacity is measured on the AC (inverter) or DC (module) rating. If the plant does not qualify, enter 50% / 30% / 20% in the depreciation profile above.</t>
  </si>
  <si>
    <t xml:space="preserve">Assessed-loss set-off (s20)</t>
  </si>
  <si>
    <t xml:space="preserve">Per the shared spec, carried-forward assessed losses are set off in full. For years of assessment ending on or after 31 March 2023, s20 limits a company's set-off to the greater of R1 million or 80% of taxable income; applying the cap would defer some tax. Not modelled.</t>
  </si>
  <si>
    <t xml:space="preserve">Simplifications (reference case): no residual value, no DSRA, no inverter replacement, no VAT, annual periods. All values are illustrative.</t>
  </si>
  <si>
    <t xml:space="preserve">Calculations – annual timeline (nominal ZAR)</t>
  </si>
  <si>
    <t xml:space="preserve">All cells are formulas driven by the Inputs sheet. Year 0 = financial close (capex, debt drawdown, equity); operations start in year 1.</t>
  </si>
  <si>
    <t xml:space="preserve">Model year</t>
  </si>
  <si>
    <t xml:space="preserve">Total / value</t>
  </si>
  <si>
    <t xml:space="preserve">Operating flag (1 = within PPA term)</t>
  </si>
  <si>
    <t xml:space="preserve">flag</t>
  </si>
  <si>
    <t xml:space="preserve">Debt service flag (1 = within tenor)</t>
  </si>
  <si>
    <t xml:space="preserve">1. Generation and revenue</t>
  </si>
  <si>
    <t xml:space="preserve">Net generation</t>
  </si>
  <si>
    <t xml:space="preserve">PPA tariff</t>
  </si>
  <si>
    <t xml:space="preserve">Revenue</t>
  </si>
  <si>
    <t xml:space="preserve">2. Operating costs and EBITDA</t>
  </si>
  <si>
    <t xml:space="preserve">Operating costs (O&amp;M, insurance, monitoring)</t>
  </si>
  <si>
    <t xml:space="preserve">EBITDA</t>
  </si>
  <si>
    <t xml:space="preserve">3. Capital expenditure and tax depreciation</t>
  </si>
  <si>
    <t xml:space="preserve">Capital expenditure</t>
  </si>
  <si>
    <t xml:space="preserve">Tax depreciation (s12B profile from Inputs)</t>
  </si>
  <si>
    <t xml:space="preserve">4. Senior debt – level annuity, paid annually in arrears</t>
  </si>
  <si>
    <t xml:space="preserve">Opening balance</t>
  </si>
  <si>
    <t xml:space="preserve">Drawdown</t>
  </si>
  <si>
    <t xml:space="preserve">Debt service (interest + principal)</t>
  </si>
  <si>
    <t xml:space="preserve">  of which interest</t>
  </si>
  <si>
    <t xml:space="preserve">  of which principal</t>
  </si>
  <si>
    <t xml:space="preserve">Closing balance</t>
  </si>
  <si>
    <t xml:space="preserve">5. Tax – project company (levered, with assessed-loss carry-forward)</t>
  </si>
  <si>
    <t xml:space="preserve">Less: interest</t>
  </si>
  <si>
    <t xml:space="preserve">Less: tax depreciation</t>
  </si>
  <si>
    <t xml:space="preserve">Taxable income before assessed loss</t>
  </si>
  <si>
    <t xml:space="preserve">Assessed loss brought forward</t>
  </si>
  <si>
    <t xml:space="preserve">Taxable income after assessed-loss set-off</t>
  </si>
  <si>
    <t xml:space="preserve">Assessed loss carried forward</t>
  </si>
  <si>
    <t xml:space="preserve">Tax payable (levered)</t>
  </si>
  <si>
    <t xml:space="preserve">6. Cash flow available for debt service (CFADS) and DSCR</t>
  </si>
  <si>
    <t xml:space="preserve">Less: tax paid (levered)</t>
  </si>
  <si>
    <t xml:space="preserve">CFADS</t>
  </si>
  <si>
    <t xml:space="preserve">Debt service</t>
  </si>
  <si>
    <t xml:space="preserve">DSCR (CFADS / debt service)</t>
  </si>
  <si>
    <t xml:space="preserve">Reference DSCR threshold (chart only)</t>
  </si>
  <si>
    <t xml:space="preserve">7. Equity cash flows</t>
  </si>
  <si>
    <t xml:space="preserve">Distributions (CFADS − debt service)</t>
  </si>
  <si>
    <t xml:space="preserve">Equity cash flow</t>
  </si>
  <si>
    <t xml:space="preserve">Cumulative equity cash flow</t>
  </si>
  <si>
    <t xml:space="preserve">Payback reached (1 = cumulative ≥ 0)</t>
  </si>
  <si>
    <t xml:space="preserve">8. Unlevered project cash flows (post-tax, own assessed-loss carry-forward)</t>
  </si>
  <si>
    <t xml:space="preserve">Unlevered taxable income before assessed loss</t>
  </si>
  <si>
    <t xml:space="preserve">Tax payable (unlevered)</t>
  </si>
  <si>
    <t xml:space="preserve">Project cash flow (unlevered, post-tax)</t>
  </si>
  <si>
    <t xml:space="preserve">9. Levelised cost of energy (pre-tax, nominal)</t>
  </si>
  <si>
    <t xml:space="preserve">Discount factor at LCOE rate</t>
  </si>
  <si>
    <t xml:space="preserve">factor</t>
  </si>
  <si>
    <t xml:space="preserve">PV of capex</t>
  </si>
  <si>
    <t xml:space="preserve">PV of opex</t>
  </si>
  <si>
    <t xml:space="preserve">PV of generation</t>
  </si>
  <si>
    <t xml:space="preserve">LCOE = (PV capex + PV opex) / PV generation</t>
  </si>
  <si>
    <t xml:space="preserve">Memo: PV of revenue</t>
  </si>
  <si>
    <t xml:space="preserve">Memo: levelised PPA tariff = PV revenue / PV generation</t>
  </si>
  <si>
    <t xml:space="preserve">10. Equity discounting (cross-check of NPV function)</t>
  </si>
  <si>
    <t xml:space="preserve">Discount factor at equity rate</t>
  </si>
  <si>
    <t xml:space="preserve">PV of equity cash flow (total = equity NPV)</t>
  </si>
  <si>
    <t xml:space="preserve">Outputs – dashboard</t>
  </si>
  <si>
    <t xml:space="preserve">Headline results of the reference case. All values are live formulas.</t>
  </si>
  <si>
    <t xml:space="preserve">Headline outputs</t>
  </si>
  <si>
    <t xml:space="preserve">Metric</t>
  </si>
  <si>
    <t xml:space="preserve">Basis</t>
  </si>
  <si>
    <t xml:space="preserve">Project IRR (unlevered, post-tax)</t>
  </si>
  <si>
    <t xml:space="preserve">IRR of −capex at year 0 and EBITDA − unlevered tax thereafter (§8).</t>
  </si>
  <si>
    <t xml:space="preserve">Equity IRR</t>
  </si>
  <si>
    <t xml:space="preserve">IRR of −equity at year 0 and CFADS − debt service thereafter (§7).</t>
  </si>
  <si>
    <t xml:space="preserve">Minimum DSCR</t>
  </si>
  <si>
    <t xml:space="preserve">Lowest annual CFADS / debt service over the tenor (§6).</t>
  </si>
  <si>
    <t xml:space="preserve">Average DSCR (debt years)</t>
  </si>
  <si>
    <t xml:space="preserve">Arithmetic mean of the annual DSCRs over the tenor.</t>
  </si>
  <si>
    <t xml:space="preserve">Equity NPV at 16%</t>
  </si>
  <si>
    <t xml:space="preserve">Year-0 flow undiscounted; years 1+ discounted at the equity rate.</t>
  </si>
  <si>
    <t xml:space="preserve">LCOE (pre-tax, nominal, 10%)</t>
  </si>
  <si>
    <t xml:space="preserve">[capex + Σ opex_y/1.10^y] / [Σ generation_y/1.10^y] (§9).</t>
  </si>
  <si>
    <t xml:space="preserve">Equity payback year</t>
  </si>
  <si>
    <t xml:space="preserve">year</t>
  </si>
  <si>
    <t xml:space="preserve">First year in which cumulative equity cash flow (incl. year 0) is ≥ 0.</t>
  </si>
  <si>
    <t xml:space="preserve">Year-1 generation</t>
  </si>
  <si>
    <t xml:space="preserve">Size × specific yield.</t>
  </si>
  <si>
    <t xml:space="preserve">Key figures</t>
  </si>
  <si>
    <t xml:space="preserve">Total capex (year 0)</t>
  </si>
  <si>
    <t xml:space="preserve">Size × R/Wp.</t>
  </si>
  <si>
    <t xml:space="preserve">Gearing × capex.</t>
  </si>
  <si>
    <t xml:space="preserve">Equity</t>
  </si>
  <si>
    <t xml:space="preserve">Capex − debt.</t>
  </si>
  <si>
    <t xml:space="preserve">Annual debt service (years 1 to tenor)</t>
  </si>
  <si>
    <t xml:space="preserve">Level annuity.</t>
  </si>
  <si>
    <t xml:space="preserve">Year-1 revenue</t>
  </si>
  <si>
    <t xml:space="preserve">Year-1 generation × year-1 tariff.</t>
  </si>
  <si>
    <t xml:space="preserve">Year-1 EBITDA</t>
  </si>
  <si>
    <t xml:space="preserve">Revenue − opex.</t>
  </si>
  <si>
    <t xml:space="preserve">Levelised PPA tariff (nominal, 10%)</t>
  </si>
  <si>
    <t xml:space="preserve">PV of revenue ÷ PV of generation at the LCOE discount rate (§9).</t>
  </si>
  <si>
    <t xml:space="preserve">Levelised tariff ÷ LCOE</t>
  </si>
  <si>
    <t xml:space="preserve">Like-for-like margin of the PPA price over the plant's levelised cost.</t>
  </si>
  <si>
    <t xml:space="preserve">Year of minimum DSCR</t>
  </si>
  <si>
    <t xml:space="preserve">Year in which the minimum DSCR occurs.</t>
  </si>
  <si>
    <t xml:space="preserve">Minimum DSCR headroom over reference threshold</t>
  </si>
  <si>
    <t xml:space="preserve">Positive = minimum DSCR above the display threshold on Inputs.</t>
  </si>
  <si>
    <t xml:space="preserve">Model integrity checks</t>
  </si>
  <si>
    <t xml:space="preserve">Debt fully repaid by end of timeline</t>
  </si>
  <si>
    <t xml:space="preserve">Total principal repaid = debt drawn</t>
  </si>
  <si>
    <t xml:space="preserve">Debt + equity = capex</t>
  </si>
  <si>
    <t xml:space="preserve">Tax depreciation profile totals 100%</t>
  </si>
  <si>
    <t xml:space="preserve">Total tax depreciation = capex</t>
  </si>
  <si>
    <t xml:space="preserve">Tenor ≤ term ≤ timeline capacity (25 years)</t>
  </si>
  <si>
    <t xml:space="preserve">Equity NPV: NPV() function = sum of discounted flows (§10)</t>
  </si>
  <si>
    <t xml:space="preserve">Sensitivity base case reconciles to main model</t>
  </si>
  <si>
    <t xml:space="preserve">Overall model status</t>
  </si>
  <si>
    <t xml:space="preserve">Charts show the reference term (years 0–20) and tenor (years 1–10). Simplifications: no residual value, no DSRA, no inverter replacement, no VAT, annual periods.</t>
  </si>
  <si>
    <t xml:space="preserve">Sensitivity – tariff and capex flexes</t>
  </si>
  <si>
    <t xml:space="preserve">Each scenario below is a full re-run of the debt, tax and cash-flow logic with flexed inputs (no Excel data tables), so the sheet recalculates in Excel, LibreOffice and Google Sheets.</t>
  </si>
  <si>
    <t xml:space="preserve">One-way sensitivity – scenario columns</t>
  </si>
  <si>
    <t xml:space="preserve">Base case</t>
  </si>
  <si>
    <t xml:space="preserve">Tariff multiplier</t>
  </si>
  <si>
    <t xml:space="preserve">Capex multiplier</t>
  </si>
  <si>
    <t xml:space="preserve">  Change vs base</t>
  </si>
  <si>
    <t xml:space="preserve">pp</t>
  </si>
  <si>
    <t xml:space="preserve">Equity NPV at equity discount rate</t>
  </si>
  <si>
    <t xml:space="preserve">Two-way sensitivity – equity IRR</t>
  </si>
  <si>
    <t xml:space="preserve">Capex flex (rows) × tariff flex (columns)</t>
  </si>
  <si>
    <t xml:space="preserve">Base tariff</t>
  </si>
  <si>
    <t xml:space="preserve">Base capex</t>
  </si>
  <si>
    <t xml:space="preserve">Two-way sensitivity – minimum DSCR</t>
  </si>
  <si>
    <t xml:space="preserve">Notes: tariff flex scales the PPA tariff in every year; capex flex scales capex, tax depreciation and senior debt (gearing held constant), so debt service moves with capex. Opex and generation are unchanged.</t>
  </si>
  <si>
    <t xml:space="preserve">Scenario calculation blocks (rows grouped – use the outline buttons to collapse)</t>
  </si>
  <si>
    <t xml:space="preserve">Scenario: tariff −flex, capex −flex</t>
  </si>
  <si>
    <t xml:space="preserve">Capex</t>
  </si>
  <si>
    <t xml:space="preserve">Senior debt (gearing × capex)</t>
  </si>
  <si>
    <t xml:space="preserve">Annual debt service</t>
  </si>
  <si>
    <t xml:space="preserve">Interest</t>
  </si>
  <si>
    <t xml:space="preserve">Principal</t>
  </si>
  <si>
    <t xml:space="preserve">Closing debt balance</t>
  </si>
  <si>
    <t xml:space="preserve">Tax depreciation</t>
  </si>
  <si>
    <t xml:space="preserve">DSCR</t>
  </si>
  <si>
    <t xml:space="preserve">Scenario: base tariff, capex −flex</t>
  </si>
  <si>
    <t xml:space="preserve">Scenario: tariff +flex, capex −flex</t>
  </si>
  <si>
    <t xml:space="preserve">Scenario: tariff −flex, base capex</t>
  </si>
  <si>
    <t xml:space="preserve">Scenario: base tariff, base capex</t>
  </si>
  <si>
    <t xml:space="preserve">Scenario: tariff +flex, base capex</t>
  </si>
  <si>
    <t xml:space="preserve">Scenario: tariff −flex, capex +flex</t>
  </si>
  <si>
    <t xml:space="preserve">Scenario: base tariff, capex +flex</t>
  </si>
  <si>
    <t xml:space="preserve">Scenario: tariff +flex, capex +flex</t>
  </si>
</sst>
</file>

<file path=xl/styles.xml><?xml version="1.0" encoding="utf-8"?>
<styleSheet xmlns="http://schemas.openxmlformats.org/spreadsheetml/2006/main">
  <numFmts count="16">
    <numFmt numFmtId="164" formatCode="General"/>
    <numFmt numFmtId="165" formatCode="[&gt;=0.5]#,##0;[&lt;=-0.5]\(#,##0\);\-"/>
    <numFmt numFmtId="166" formatCode="0.00%"/>
    <numFmt numFmtId="167" formatCode="&quot;R &quot;0.00"/>
    <numFmt numFmtId="168" formatCode="&quot;R &quot;#,##0"/>
    <numFmt numFmtId="169" formatCode="0.0%"/>
    <numFmt numFmtId="170" formatCode="&quot;R &quot;0.0000;&quot;(R &quot;0.0000\);\-"/>
    <numFmt numFmtId="171" formatCode="0"/>
    <numFmt numFmtId="172" formatCode="0.00\x"/>
    <numFmt numFmtId="173" formatCode="[&gt;=0.5]&quot;R &quot;#,##0;[&lt;=-0.5]&quot;(R &quot;#,##0\);\-"/>
    <numFmt numFmtId="174" formatCode="&quot;Year &quot;0"/>
    <numFmt numFmtId="175" formatCode="0.0000"/>
    <numFmt numFmtId="176" formatCode="\+0.00\x;\-0.00\x;0.00\x"/>
    <numFmt numFmtId="177" formatCode="\R#,##0.0,,\m"/>
    <numFmt numFmtId="178" formatCode="0.0%;\(0.0%\);\-"/>
    <numFmt numFmtId="179" formatCode="\+0.0%;\-0.0%;0.0%"/>
  </numFmts>
  <fonts count="23">
    <font>
      <sz val="11"/>
      <color theme="1"/>
      <name val="Calibri"/>
      <family val="2"/>
      <charset val="1"/>
    </font>
    <font>
      <sz val="10"/>
      <name val="Arial"/>
      <family val="0"/>
    </font>
    <font>
      <sz val="10"/>
      <name val="Arial"/>
      <family val="0"/>
    </font>
    <font>
      <sz val="10"/>
      <name val="Arial"/>
      <family val="0"/>
    </font>
    <font>
      <b val="true"/>
      <sz val="20"/>
      <color rgb="FF1F3864"/>
      <name val="Arial"/>
      <family val="0"/>
      <charset val="1"/>
    </font>
    <font>
      <b val="true"/>
      <sz val="13"/>
      <color rgb="FFC00000"/>
      <name val="Arial"/>
      <family val="0"/>
      <charset val="1"/>
    </font>
    <font>
      <b val="true"/>
      <sz val="10"/>
      <name val="Arial"/>
      <family val="0"/>
      <charset val="1"/>
    </font>
    <font>
      <sz val="10"/>
      <color rgb="FF000000"/>
      <name val="Arial"/>
      <family val="0"/>
      <charset val="1"/>
    </font>
    <font>
      <b val="true"/>
      <sz val="11"/>
      <color rgb="FFFFFFFF"/>
      <name val="Arial"/>
      <family val="0"/>
      <charset val="1"/>
    </font>
    <font>
      <i val="true"/>
      <sz val="10"/>
      <color rgb="FFC00000"/>
      <name val="Arial"/>
      <family val="0"/>
      <charset val="1"/>
    </font>
    <font>
      <sz val="10"/>
      <color rgb="FF0000FF"/>
      <name val="Arial"/>
      <family val="0"/>
      <charset val="1"/>
    </font>
    <font>
      <sz val="10"/>
      <color rgb="FF008000"/>
      <name val="Arial"/>
      <family val="0"/>
      <charset val="1"/>
    </font>
    <font>
      <b val="true"/>
      <sz val="10"/>
      <color rgb="FF006100"/>
      <name val="Arial"/>
      <family val="0"/>
      <charset val="1"/>
    </font>
    <font>
      <sz val="9"/>
      <color rgb="FF595959"/>
      <name val="Arial"/>
      <family val="0"/>
      <charset val="1"/>
    </font>
    <font>
      <b val="true"/>
      <sz val="16"/>
      <color rgb="FF1F3864"/>
      <name val="Arial"/>
      <family val="0"/>
      <charset val="1"/>
    </font>
    <font>
      <i val="true"/>
      <sz val="10"/>
      <color rgb="FF595959"/>
      <name val="Arial"/>
      <family val="0"/>
      <charset val="1"/>
    </font>
    <font>
      <b val="true"/>
      <sz val="10"/>
      <color rgb="FFC00000"/>
      <name val="Arial"/>
      <family val="0"/>
      <charset val="1"/>
    </font>
    <font>
      <b val="true"/>
      <sz val="10"/>
      <color rgb="FF1F3864"/>
      <name val="Arial"/>
      <family val="0"/>
      <charset val="1"/>
    </font>
    <font>
      <sz val="10"/>
      <name val="Arial"/>
      <family val="0"/>
      <charset val="1"/>
    </font>
    <font>
      <b val="true"/>
      <sz val="11"/>
      <color rgb="FF1F3864"/>
      <name val="Arial"/>
      <family val="2"/>
    </font>
    <font>
      <sz val="8"/>
      <color rgb="FF404040"/>
      <name val="Arial"/>
      <family val="2"/>
    </font>
    <font>
      <b val="true"/>
      <sz val="8"/>
      <color rgb="FF404040"/>
      <name val="Arial"/>
      <family val="2"/>
    </font>
    <font>
      <b val="true"/>
      <sz val="10"/>
      <color rgb="FF008000"/>
      <name val="Arial"/>
      <family val="0"/>
      <charset val="1"/>
    </font>
  </fonts>
  <fills count="7">
    <fill>
      <patternFill patternType="none"/>
    </fill>
    <fill>
      <patternFill patternType="gray125"/>
    </fill>
    <fill>
      <patternFill patternType="solid">
        <fgColor rgb="FF1F3864"/>
        <bgColor rgb="FF333399"/>
      </patternFill>
    </fill>
    <fill>
      <patternFill patternType="solid">
        <fgColor rgb="FFFFF2CC"/>
        <bgColor rgb="FFE2EFDA"/>
      </patternFill>
    </fill>
    <fill>
      <patternFill patternType="solid">
        <fgColor rgb="FFC6EFCE"/>
        <bgColor rgb="FFE2EFDA"/>
      </patternFill>
    </fill>
    <fill>
      <patternFill patternType="solid">
        <fgColor rgb="FFD9E1F2"/>
        <bgColor rgb="FFD9D9D9"/>
      </patternFill>
    </fill>
    <fill>
      <patternFill patternType="solid">
        <fgColor rgb="FFE2EFDA"/>
        <bgColor rgb="FFD9E1F2"/>
      </patternFill>
    </fill>
  </fills>
  <borders count="4">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1F3864"/>
      </bottom>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true" applyProtection="false">
      <alignment horizontal="right" vertical="bottom"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70" fontId="10" fillId="3" borderId="1" xfId="0" applyFont="true" applyBorder="true" applyAlignment="false" applyProtection="false">
      <alignment horizontal="general" vertical="bottom" textRotation="0" wrapText="false" indent="0" shrinkToFit="false"/>
      <protection locked="true" hidden="false"/>
    </xf>
    <xf numFmtId="171" fontId="10" fillId="3" borderId="1" xfId="0" applyFont="true" applyBorder="true" applyAlignment="false" applyProtection="false">
      <alignment horizontal="general" vertical="bottom" textRotation="0" wrapText="false" indent="0" shrinkToFit="false"/>
      <protection locked="true" hidden="false"/>
    </xf>
    <xf numFmtId="172" fontId="10" fillId="3" borderId="1" xfId="0" applyFont="true" applyBorder="tru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right" vertical="bottom" textRotation="0" wrapText="false" indent="0" shrinkToFit="false"/>
      <protection locked="true" hidden="false"/>
    </xf>
    <xf numFmtId="174" fontId="8" fillId="2" borderId="0" xfId="0" applyFont="true" applyBorder="false" applyAlignment="true" applyProtection="false">
      <alignment horizontal="right" vertical="bottom" textRotation="0" wrapText="false" indent="0" shrinkToFit="false"/>
      <protection locked="true" hidden="false"/>
    </xf>
    <xf numFmtId="171" fontId="18"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5" fontId="18" fillId="0" borderId="0" xfId="0" applyFont="true" applyBorder="false" applyAlignment="false" applyProtection="false">
      <alignment horizontal="general" vertical="bottom" textRotation="0" wrapText="false" indent="0" shrinkToFit="false"/>
      <protection locked="true" hidden="false"/>
    </xf>
    <xf numFmtId="170" fontId="18" fillId="0" borderId="0" xfId="0" applyFont="true" applyBorder="false" applyAlignment="false" applyProtection="false">
      <alignment horizontal="general" vertical="bottom" textRotation="0" wrapText="false" indent="0" shrinkToFit="false"/>
      <protection locked="true" hidden="false"/>
    </xf>
    <xf numFmtId="164" fontId="6" fillId="0" borderId="3" xfId="0" applyFont="true" applyBorder="true" applyAlignment="false" applyProtection="false">
      <alignment horizontal="general" vertical="bottom" textRotation="0" wrapText="false" indent="0" shrinkToFit="false"/>
      <protection locked="true" hidden="false"/>
    </xf>
    <xf numFmtId="164" fontId="13" fillId="0" borderId="3" xfId="0" applyFont="true" applyBorder="true" applyAlignment="false" applyProtection="false">
      <alignment horizontal="general" vertical="bottom" textRotation="0" wrapText="false" indent="0" shrinkToFit="false"/>
      <protection locked="true" hidden="false"/>
    </xf>
    <xf numFmtId="173" fontId="6" fillId="0" borderId="3" xfId="0" applyFont="true" applyBorder="tru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73" fontId="18" fillId="0" borderId="0" xfId="0" applyFont="true" applyBorder="false" applyAlignment="false" applyProtection="false">
      <alignment horizontal="general" vertical="bottom"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73" fontId="18" fillId="0" borderId="3" xfId="0" applyFont="true" applyBorder="tru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72" fontId="18" fillId="0" borderId="0" xfId="0" applyFont="true" applyBorder="false" applyAlignment="false" applyProtection="false">
      <alignment horizontal="general" vertical="bottom" textRotation="0" wrapText="false" indent="0" shrinkToFit="false"/>
      <protection locked="true" hidden="false"/>
    </xf>
    <xf numFmtId="175" fontId="18"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6" fontId="6" fillId="6"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1" shrinkToFit="false"/>
      <protection locked="true" hidden="false"/>
    </xf>
    <xf numFmtId="172" fontId="6" fillId="6" borderId="0" xfId="0" applyFont="true" applyBorder="false" applyAlignment="false" applyProtection="false">
      <alignment horizontal="general" vertical="bottom" textRotation="0" wrapText="false" indent="0" shrinkToFit="false"/>
      <protection locked="true" hidden="false"/>
    </xf>
    <xf numFmtId="173" fontId="6" fillId="6" borderId="0" xfId="0" applyFont="true" applyBorder="false" applyAlignment="false" applyProtection="false">
      <alignment horizontal="general" vertical="bottom" textRotation="0" wrapText="false" indent="0" shrinkToFit="false"/>
      <protection locked="true" hidden="false"/>
    </xf>
    <xf numFmtId="170" fontId="11" fillId="6" borderId="0" xfId="0" applyFont="true" applyBorder="false" applyAlignment="false" applyProtection="false">
      <alignment horizontal="general" vertical="bottom" textRotation="0" wrapText="false" indent="0" shrinkToFit="false"/>
      <protection locked="true" hidden="false"/>
    </xf>
    <xf numFmtId="174" fontId="6" fillId="6" borderId="0" xfId="0" applyFont="true" applyBorder="false" applyAlignment="false" applyProtection="false">
      <alignment horizontal="general" vertical="bottom" textRotation="0" wrapText="false" indent="0" shrinkToFit="false"/>
      <protection locked="true" hidden="false"/>
    </xf>
    <xf numFmtId="165" fontId="11" fillId="6"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78" fontId="22" fillId="0" borderId="0" xfId="0" applyFont="true" applyBorder="false" applyAlignment="false" applyProtection="false">
      <alignment horizontal="general" vertical="bottom" textRotation="0" wrapText="false" indent="0" shrinkToFit="false"/>
      <protection locked="true" hidden="false"/>
    </xf>
    <xf numFmtId="179" fontId="7" fillId="0" borderId="0" xfId="0" applyFont="true" applyBorder="false" applyAlignment="false" applyProtection="false">
      <alignment horizontal="general" vertical="bottom" textRotation="0" wrapText="false" indent="0" shrinkToFit="false"/>
      <protection locked="true" hidden="false"/>
    </xf>
    <xf numFmtId="172" fontId="22" fillId="0" borderId="0" xfId="0" applyFont="true" applyBorder="false" applyAlignment="false" applyProtection="false">
      <alignment horizontal="general" vertical="bottom" textRotation="0" wrapText="false" indent="0" shrinkToFit="false"/>
      <protection locked="true" hidden="false"/>
    </xf>
    <xf numFmtId="178" fontId="11" fillId="0" borderId="1" xfId="0" applyFont="true" applyBorder="true" applyAlignment="false" applyProtection="false">
      <alignment horizontal="general" vertical="bottom" textRotation="0" wrapText="false" indent="0" shrinkToFit="false"/>
      <protection locked="true" hidden="false"/>
    </xf>
    <xf numFmtId="178" fontId="11" fillId="6" borderId="1" xfId="0" applyFont="true" applyBorder="true" applyAlignment="false" applyProtection="false">
      <alignment horizontal="general" vertical="bottom" textRotation="0" wrapText="false" indent="0" shrinkToFit="false"/>
      <protection locked="true" hidden="false"/>
    </xf>
    <xf numFmtId="172" fontId="11" fillId="0" borderId="1" xfId="0" applyFont="true" applyBorder="true" applyAlignment="false" applyProtection="false">
      <alignment horizontal="general" vertical="bottom" textRotation="0" wrapText="false" indent="0" shrinkToFit="false"/>
      <protection locked="true" hidden="false"/>
    </xf>
    <xf numFmtId="172" fontId="11" fillId="6" borderId="1" xfId="0" applyFont="true" applyBorder="true" applyAlignment="false" applyProtection="false">
      <alignment horizontal="general" vertical="bottom" textRotation="0" wrapText="false" indent="0" shrinkToFit="false"/>
      <protection locked="true" hidden="false"/>
    </xf>
    <xf numFmtId="174" fontId="11" fillId="0" borderId="0" xfId="0" applyFont="true" applyBorder="false" applyAlignment="true" applyProtection="false">
      <alignment horizontal="right" vertical="bottom" textRotation="0" wrapText="false" indent="0" shrinkToFit="false"/>
      <protection locked="true" hidden="false"/>
    </xf>
    <xf numFmtId="178"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006100"/>
        <sz val="10"/>
      </font>
      <fill>
        <patternFill>
          <bgColor rgb="FFC6EFCE"/>
        </patternFill>
      </fill>
    </dxf>
    <dxf>
      <font>
        <name val="Arial"/>
        <charset val="1"/>
        <family val="0"/>
        <b val="1"/>
        <color rgb="FF9C0006"/>
        <sz val="10"/>
      </font>
      <fill>
        <patternFill>
          <bgColor rgb="FFFFC7CE"/>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BFBFBF"/>
      <rgbColor rgb="FF878787"/>
      <rgbColor rgb="FF5B9BD5"/>
      <rgbColor rgb="FF993366"/>
      <rgbColor rgb="FFFFF2CC"/>
      <rgbColor rgb="FFE2EFD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9E1F2"/>
      <rgbColor rgb="FFC6EFCE"/>
      <rgbColor rgb="FFFFFF99"/>
      <rgbColor rgb="FF99CCFF"/>
      <rgbColor rgb="FFFF99CC"/>
      <rgbColor rgb="FFCC99FF"/>
      <rgbColor rgb="FFFFC7CE"/>
      <rgbColor rgb="FF3366FF"/>
      <rgbColor rgb="FF33CCCC"/>
      <rgbColor rgb="FF99CC00"/>
      <rgbColor rgb="FFFFCC00"/>
      <rgbColor rgb="FFFF9900"/>
      <rgbColor rgb="FFED7D31"/>
      <rgbColor rgb="FF595959"/>
      <rgbColor rgb="FF969696"/>
      <rgbColor rgb="FF1F3864"/>
      <rgbColor rgb="FF339966"/>
      <rgbColor rgb="FF0061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00" spc="-1" strike="noStrike">
                <a:solidFill>
                  <a:srgbClr val="1f3864"/>
                </a:solidFill>
                <a:latin typeface="Arial"/>
              </a:defRPr>
            </a:pPr>
            <a:r>
              <a:rPr b="1" sz="1100" spc="-1" strike="noStrike">
                <a:solidFill>
                  <a:srgbClr val="1f3864"/>
                </a:solidFill>
                <a:latin typeface="Arial"/>
              </a:rPr>
              <a:t>Annual cash flows – CFADS, debt service and equity (R m)</a:t>
            </a:r>
          </a:p>
        </c:rich>
      </c:tx>
      <c:overlay val="0"/>
      <c:spPr>
        <a:noFill/>
        <a:ln w="0">
          <a:noFill/>
        </a:ln>
      </c:spPr>
    </c:title>
    <c:autoTitleDeleted val="0"/>
    <c:plotArea>
      <c:barChart>
        <c:barDir val="col"/>
        <c:grouping val="clustered"/>
        <c:varyColors val="0"/>
        <c:ser>
          <c:idx val="0"/>
          <c:order val="0"/>
          <c:tx>
            <c:strRef>
              <c:f>"CFADS"</c:f>
              <c:strCache>
                <c:ptCount val="1"/>
                <c:pt idx="0">
                  <c:v>CFADS</c:v>
                </c:pt>
              </c:strCache>
            </c:strRef>
          </c:tx>
          <c:spPr>
            <a:solidFill>
              <a:srgbClr val="5b9bd5"/>
            </a:solidFill>
            <a:ln w="0">
              <a:solidFill>
                <a:srgbClr val="5b9bd5"/>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Calculations!$E$5:$Y$5</c:f>
              <c:multiLvlStrCache>
                <c:ptCount val="1"/>
                <c:lvl>
                  <c:pt idx="0">
                    <c:v>Year 20</c:v>
                  </c:pt>
                </c:lvl>
                <c:lvl>
                  <c:pt idx="0">
                    <c:v>Year 19</c:v>
                  </c:pt>
                </c:lvl>
                <c:lvl>
                  <c:pt idx="0">
                    <c:v>Year 18</c:v>
                  </c:pt>
                </c:lvl>
                <c:lvl>
                  <c:pt idx="0">
                    <c:v>Year 17</c:v>
                  </c:pt>
                </c:lvl>
                <c:lvl>
                  <c:pt idx="0">
                    <c:v>Year 16</c:v>
                  </c:pt>
                </c:lvl>
                <c:lvl>
                  <c:pt idx="0">
                    <c:v>Year 15</c:v>
                  </c:pt>
                </c:lvl>
                <c:lvl>
                  <c:pt idx="0">
                    <c:v>Year 14</c:v>
                  </c:pt>
                </c:lvl>
                <c:lvl>
                  <c:pt idx="0">
                    <c:v>Year 13</c:v>
                  </c:pt>
                </c:lvl>
                <c:lvl>
                  <c:pt idx="0">
                    <c:v>Year 12</c:v>
                  </c:pt>
                </c:lvl>
                <c:lvl>
                  <c:pt idx="0">
                    <c:v>Year 11</c:v>
                  </c:pt>
                </c:lvl>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lvl>
                  <c:pt idx="0">
                    <c:v>Year 0</c:v>
                  </c:pt>
                </c:lvl>
              </c:multiLvlStrCache>
            </c:multiLvlStrRef>
          </c:cat>
          <c:val>
            <c:numRef>
              <c:f>Calculations!$E$43:$Y$43</c:f>
              <c:numCache>
                <c:formatCode>[&gt;=0.5]"R "#,##0;[&lt;=-0.5]"(R "#,##0\);\-</c:formatCode>
                <c:ptCount val="21"/>
                <c:pt idx="1">
                  <c:v>1717500</c:v>
                </c:pt>
                <c:pt idx="2">
                  <c:v>1802853.1875</c:v>
                </c:pt>
                <c:pt idx="3">
                  <c:v>1892448.08724844</c:v>
                </c:pt>
                <c:pt idx="4">
                  <c:v>1986495.49463687</c:v>
                </c:pt>
                <c:pt idx="5">
                  <c:v>2085216.68067018</c:v>
                </c:pt>
                <c:pt idx="6">
                  <c:v>2188843.91255713</c:v>
                </c:pt>
                <c:pt idx="7">
                  <c:v>2297621.00017169</c:v>
                </c:pt>
                <c:pt idx="8">
                  <c:v>2411803.86967102</c:v>
                </c:pt>
                <c:pt idx="9">
                  <c:v>2172426.09923071</c:v>
                </c:pt>
                <c:pt idx="10">
                  <c:v>1977616.06061728</c:v>
                </c:pt>
                <c:pt idx="11">
                  <c:v>2036364.95251882</c:v>
                </c:pt>
                <c:pt idx="12">
                  <c:v>2137564.33967548</c:v>
                </c:pt>
                <c:pt idx="13">
                  <c:v>2243792.92335314</c:v>
                </c:pt>
                <c:pt idx="14">
                  <c:v>2355300.63319853</c:v>
                </c:pt>
                <c:pt idx="15">
                  <c:v>2472349.81925257</c:v>
                </c:pt>
                <c:pt idx="16">
                  <c:v>2595215.86918656</c:v>
                </c:pt>
                <c:pt idx="17">
                  <c:v>2724187.85621209</c:v>
                </c:pt>
                <c:pt idx="18">
                  <c:v>2859569.21918899</c:v>
                </c:pt>
                <c:pt idx="19">
                  <c:v>3001678.47653125</c:v>
                </c:pt>
                <c:pt idx="20">
                  <c:v>3150849.97559075</c:v>
                </c:pt>
              </c:numCache>
            </c:numRef>
          </c:val>
        </c:ser>
        <c:ser>
          <c:idx val="1"/>
          <c:order val="1"/>
          <c:tx>
            <c:strRef>
              <c:f>"Debt service"</c:f>
              <c:strCache>
                <c:ptCount val="1"/>
                <c:pt idx="0">
                  <c:v>Debt service</c:v>
                </c:pt>
              </c:strCache>
            </c:strRef>
          </c:tx>
          <c:spPr>
            <a:solidFill>
              <a:srgbClr val="ed7d31"/>
            </a:solidFill>
            <a:ln w="0">
              <a:solidFill>
                <a:srgbClr val="ed7d31"/>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Calculations!$E$5:$Y$5</c:f>
              <c:multiLvlStrCache>
                <c:ptCount val="1"/>
                <c:lvl>
                  <c:pt idx="0">
                    <c:v>Year 20</c:v>
                  </c:pt>
                </c:lvl>
                <c:lvl>
                  <c:pt idx="0">
                    <c:v>Year 19</c:v>
                  </c:pt>
                </c:lvl>
                <c:lvl>
                  <c:pt idx="0">
                    <c:v>Year 18</c:v>
                  </c:pt>
                </c:lvl>
                <c:lvl>
                  <c:pt idx="0">
                    <c:v>Year 17</c:v>
                  </c:pt>
                </c:lvl>
                <c:lvl>
                  <c:pt idx="0">
                    <c:v>Year 16</c:v>
                  </c:pt>
                </c:lvl>
                <c:lvl>
                  <c:pt idx="0">
                    <c:v>Year 15</c:v>
                  </c:pt>
                </c:lvl>
                <c:lvl>
                  <c:pt idx="0">
                    <c:v>Year 14</c:v>
                  </c:pt>
                </c:lvl>
                <c:lvl>
                  <c:pt idx="0">
                    <c:v>Year 13</c:v>
                  </c:pt>
                </c:lvl>
                <c:lvl>
                  <c:pt idx="0">
                    <c:v>Year 12</c:v>
                  </c:pt>
                </c:lvl>
                <c:lvl>
                  <c:pt idx="0">
                    <c:v>Year 11</c:v>
                  </c:pt>
                </c:lvl>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lvl>
                  <c:pt idx="0">
                    <c:v>Year 0</c:v>
                  </c:pt>
                </c:lvl>
              </c:multiLvlStrCache>
            </c:multiLvlStrRef>
          </c:cat>
          <c:val>
            <c:numRef>
              <c:f>Calculations!$E$44:$Y$44</c:f>
              <c:numCache>
                <c:formatCode>[&gt;=0.5]"R "#,##0;[&lt;=-0.5]"(R "#,##0\);\-</c:formatCode>
                <c:ptCount val="21"/>
                <c:pt idx="1">
                  <c:v>1352342.23966401</c:v>
                </c:pt>
                <c:pt idx="2">
                  <c:v>1352342.23966401</c:v>
                </c:pt>
                <c:pt idx="3">
                  <c:v>1352342.23966401</c:v>
                </c:pt>
                <c:pt idx="4">
                  <c:v>1352342.23966401</c:v>
                </c:pt>
                <c:pt idx="5">
                  <c:v>1352342.23966401</c:v>
                </c:pt>
                <c:pt idx="6">
                  <c:v>1352342.23966401</c:v>
                </c:pt>
                <c:pt idx="7">
                  <c:v>1352342.23966401</c:v>
                </c:pt>
                <c:pt idx="8">
                  <c:v>1352342.23966401</c:v>
                </c:pt>
                <c:pt idx="9">
                  <c:v>1352342.23966401</c:v>
                </c:pt>
                <c:pt idx="10">
                  <c:v>1352342.23966401</c:v>
                </c:pt>
                <c:pt idx="11">
                  <c:v>0</c:v>
                </c:pt>
                <c:pt idx="12">
                  <c:v>0</c:v>
                </c:pt>
                <c:pt idx="13">
                  <c:v>0</c:v>
                </c:pt>
                <c:pt idx="14">
                  <c:v>0</c:v>
                </c:pt>
                <c:pt idx="15">
                  <c:v>0</c:v>
                </c:pt>
                <c:pt idx="16">
                  <c:v>0</c:v>
                </c:pt>
                <c:pt idx="17">
                  <c:v>0</c:v>
                </c:pt>
                <c:pt idx="18">
                  <c:v>0</c:v>
                </c:pt>
                <c:pt idx="19">
                  <c:v>0</c:v>
                </c:pt>
                <c:pt idx="20">
                  <c:v>0</c:v>
                </c:pt>
              </c:numCache>
            </c:numRef>
          </c:val>
        </c:ser>
        <c:gapWidth val="60"/>
        <c:overlap val="0"/>
        <c:axId val="46288925"/>
        <c:axId val="18287930"/>
      </c:barChart>
      <c:lineChart>
        <c:grouping val="standard"/>
        <c:varyColors val="0"/>
        <c:ser>
          <c:idx val="2"/>
          <c:order val="2"/>
          <c:tx>
            <c:strRef>
              <c:f>"Equity cash flow"</c:f>
              <c:strCache>
                <c:ptCount val="1"/>
                <c:pt idx="0">
                  <c:v>Equity cash flow</c:v>
                </c:pt>
              </c:strCache>
            </c:strRef>
          </c:tx>
          <c:spPr>
            <a:solidFill>
              <a:srgbClr val="1f3864"/>
            </a:solidFill>
            <a:ln w="28440">
              <a:solidFill>
                <a:srgbClr val="1f3864"/>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Calculations!$E$5:$Y$5</c:f>
              <c:multiLvlStrCache>
                <c:ptCount val="1"/>
                <c:lvl>
                  <c:pt idx="0">
                    <c:v>Year 20</c:v>
                  </c:pt>
                </c:lvl>
                <c:lvl>
                  <c:pt idx="0">
                    <c:v>Year 19</c:v>
                  </c:pt>
                </c:lvl>
                <c:lvl>
                  <c:pt idx="0">
                    <c:v>Year 18</c:v>
                  </c:pt>
                </c:lvl>
                <c:lvl>
                  <c:pt idx="0">
                    <c:v>Year 17</c:v>
                  </c:pt>
                </c:lvl>
                <c:lvl>
                  <c:pt idx="0">
                    <c:v>Year 16</c:v>
                  </c:pt>
                </c:lvl>
                <c:lvl>
                  <c:pt idx="0">
                    <c:v>Year 15</c:v>
                  </c:pt>
                </c:lvl>
                <c:lvl>
                  <c:pt idx="0">
                    <c:v>Year 14</c:v>
                  </c:pt>
                </c:lvl>
                <c:lvl>
                  <c:pt idx="0">
                    <c:v>Year 13</c:v>
                  </c:pt>
                </c:lvl>
                <c:lvl>
                  <c:pt idx="0">
                    <c:v>Year 12</c:v>
                  </c:pt>
                </c:lvl>
                <c:lvl>
                  <c:pt idx="0">
                    <c:v>Year 11</c:v>
                  </c:pt>
                </c:lvl>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lvl>
                  <c:pt idx="0">
                    <c:v>Year 0</c:v>
                  </c:pt>
                </c:lvl>
              </c:multiLvlStrCache>
            </c:multiLvlStrRef>
          </c:cat>
          <c:val>
            <c:numRef>
              <c:f>Calculations!$E$51:$Y$51</c:f>
              <c:numCache>
                <c:formatCode>[&gt;=0.5]"R "#,##0;[&lt;=-0.5]"(R "#,##0\);\-</c:formatCode>
                <c:ptCount val="21"/>
                <c:pt idx="0">
                  <c:v>-4200000</c:v>
                </c:pt>
                <c:pt idx="1">
                  <c:v>365157.760335991</c:v>
                </c:pt>
                <c:pt idx="2">
                  <c:v>450510.947835991</c:v>
                </c:pt>
                <c:pt idx="3">
                  <c:v>540105.847584428</c:v>
                </c:pt>
                <c:pt idx="4">
                  <c:v>634153.254972856</c:v>
                </c:pt>
                <c:pt idx="5">
                  <c:v>732874.441006175</c:v>
                </c:pt>
                <c:pt idx="6">
                  <c:v>836501.672893124</c:v>
                </c:pt>
                <c:pt idx="7">
                  <c:v>945278.760507684</c:v>
                </c:pt>
                <c:pt idx="8">
                  <c:v>1059461.63000701</c:v>
                </c:pt>
                <c:pt idx="9">
                  <c:v>820083.859566697</c:v>
                </c:pt>
                <c:pt idx="10">
                  <c:v>625273.820953275</c:v>
                </c:pt>
                <c:pt idx="11">
                  <c:v>2036364.95251882</c:v>
                </c:pt>
                <c:pt idx="12">
                  <c:v>2137564.33967548</c:v>
                </c:pt>
                <c:pt idx="13">
                  <c:v>2243792.92335314</c:v>
                </c:pt>
                <c:pt idx="14">
                  <c:v>2355300.63319853</c:v>
                </c:pt>
                <c:pt idx="15">
                  <c:v>2472349.81925257</c:v>
                </c:pt>
                <c:pt idx="16">
                  <c:v>2595215.86918656</c:v>
                </c:pt>
                <c:pt idx="17">
                  <c:v>2724187.85621209</c:v>
                </c:pt>
                <c:pt idx="18">
                  <c:v>2859569.21918899</c:v>
                </c:pt>
                <c:pt idx="19">
                  <c:v>3001678.47653125</c:v>
                </c:pt>
                <c:pt idx="20">
                  <c:v>3150849.97559075</c:v>
                </c:pt>
              </c:numCache>
            </c:numRef>
          </c:val>
          <c:smooth val="0"/>
        </c:ser>
        <c:hiLowLines>
          <c:spPr>
            <a:ln w="0">
              <a:noFill/>
            </a:ln>
          </c:spPr>
        </c:hiLowLines>
        <c:marker val="0"/>
        <c:axId val="46288925"/>
        <c:axId val="18287930"/>
      </c:lineChart>
      <c:catAx>
        <c:axId val="46288925"/>
        <c:scaling>
          <c:orientation val="minMax"/>
        </c:scaling>
        <c:delete val="0"/>
        <c:axPos val="b"/>
        <c:title>
          <c:tx>
            <c:rich>
              <a:bodyPr rot="0"/>
              <a:lstStyle/>
              <a:p>
                <a:pPr>
                  <a:defRPr b="1" sz="800" spc="-1" strike="noStrike">
                    <a:solidFill>
                      <a:srgbClr val="404040"/>
                    </a:solidFill>
                    <a:latin typeface="Arial"/>
                  </a:defRPr>
                </a:pPr>
                <a:r>
                  <a:rPr b="1" sz="800" spc="-1" strike="noStrike">
                    <a:solidFill>
                      <a:srgbClr val="404040"/>
                    </a:solidFill>
                    <a:latin typeface="Arial"/>
                  </a:rPr>
                  <a:t>Year</a:t>
                </a:r>
              </a:p>
            </c:rich>
          </c:tx>
          <c:overlay val="0"/>
          <c:spPr>
            <a:noFill/>
            <a:ln w="0">
              <a:noFill/>
            </a:ln>
          </c:spPr>
        </c:title>
        <c:numFmt formatCode="0" sourceLinked="0"/>
        <c:majorTickMark val="none"/>
        <c:minorTickMark val="none"/>
        <c:tickLblPos val="low"/>
        <c:spPr>
          <a:ln w="9360">
            <a:solidFill>
              <a:srgbClr val="878787"/>
            </a:solidFill>
            <a:round/>
          </a:ln>
        </c:spPr>
        <c:txPr>
          <a:bodyPr/>
          <a:lstStyle/>
          <a:p>
            <a:pPr>
              <a:defRPr b="0" sz="800" spc="-1" strike="noStrike">
                <a:solidFill>
                  <a:srgbClr val="404040"/>
                </a:solidFill>
                <a:latin typeface="Arial"/>
              </a:defRPr>
            </a:pPr>
          </a:p>
        </c:txPr>
        <c:crossAx val="18287930"/>
        <c:crosses val="autoZero"/>
        <c:auto val="1"/>
        <c:lblAlgn val="ctr"/>
        <c:lblOffset val="100"/>
        <c:noMultiLvlLbl val="0"/>
      </c:catAx>
      <c:valAx>
        <c:axId val="18287930"/>
        <c:scaling>
          <c:orientation val="minMax"/>
        </c:scaling>
        <c:delete val="0"/>
        <c:axPos val="l"/>
        <c:majorGridlines>
          <c:spPr>
            <a:ln w="9360">
              <a:solidFill>
                <a:srgbClr val="d9d9d9"/>
              </a:solidFill>
              <a:round/>
            </a:ln>
          </c:spPr>
        </c:majorGridlines>
        <c:title>
          <c:tx>
            <c:rich>
              <a:bodyPr rot="-5400000"/>
              <a:lstStyle/>
              <a:p>
                <a:pPr>
                  <a:defRPr b="1" sz="800" spc="-1" strike="noStrike">
                    <a:solidFill>
                      <a:srgbClr val="404040"/>
                    </a:solidFill>
                    <a:latin typeface="Arial"/>
                  </a:defRPr>
                </a:pPr>
                <a:r>
                  <a:rPr b="1" sz="800" spc="-1" strike="noStrike">
                    <a:solidFill>
                      <a:srgbClr val="404040"/>
                    </a:solidFill>
                    <a:latin typeface="Arial"/>
                  </a:rPr>
                  <a:t>R million</a:t>
                </a:r>
              </a:p>
            </c:rich>
          </c:tx>
          <c:overlay val="0"/>
          <c:spPr>
            <a:noFill/>
            <a:ln w="0">
              <a:noFill/>
            </a:ln>
          </c:spPr>
        </c:title>
        <c:numFmt formatCode="\R#,##0.0,,\m" sourceLinked="0"/>
        <c:majorTickMark val="none"/>
        <c:minorTickMark val="none"/>
        <c:tickLblPos val="nextTo"/>
        <c:spPr>
          <a:ln w="9360">
            <a:solidFill>
              <a:srgbClr val="878787"/>
            </a:solidFill>
            <a:round/>
          </a:ln>
        </c:spPr>
        <c:txPr>
          <a:bodyPr/>
          <a:lstStyle/>
          <a:p>
            <a:pPr>
              <a:defRPr b="0" sz="800" spc="-1" strike="noStrike">
                <a:solidFill>
                  <a:srgbClr val="404040"/>
                </a:solidFill>
                <a:latin typeface="Arial"/>
              </a:defRPr>
            </a:pPr>
          </a:p>
        </c:txPr>
        <c:crossAx val="46288925"/>
        <c:crosses val="autoZero"/>
        <c:crossBetween val="between"/>
      </c:valAx>
      <c:spPr>
        <a:noFill/>
        <a:ln w="0">
          <a:noFill/>
        </a:ln>
      </c:spPr>
    </c:plotArea>
    <c:legend>
      <c:legendPos val="b"/>
      <c:overlay val="0"/>
      <c:spPr>
        <a:noFill/>
        <a:ln w="0">
          <a:noFill/>
        </a:ln>
      </c:spPr>
      <c:txPr>
        <a:bodyPr/>
        <a:lstStyle/>
        <a:p>
          <a:pPr>
            <a:defRPr b="0" sz="800" spc="-1" strike="noStrike">
              <a:solidFill>
                <a:srgbClr val="404040"/>
              </a:solidFill>
              <a:latin typeface="Arial"/>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00" spc="-1" strike="noStrike">
                <a:solidFill>
                  <a:srgbClr val="1f3864"/>
                </a:solidFill>
                <a:latin typeface="Arial"/>
              </a:defRPr>
            </a:pPr>
            <a:r>
              <a:rPr b="1" sz="1100" spc="-1" strike="noStrike">
                <a:solidFill>
                  <a:srgbClr val="1f3864"/>
                </a:solidFill>
                <a:latin typeface="Arial"/>
              </a:rPr>
              <a:t>Debt service cover ratio by year (debt tenor)</a:t>
            </a:r>
          </a:p>
        </c:rich>
      </c:tx>
      <c:overlay val="0"/>
      <c:spPr>
        <a:noFill/>
        <a:ln w="0">
          <a:noFill/>
        </a:ln>
      </c:spPr>
    </c:title>
    <c:autoTitleDeleted val="0"/>
    <c:plotArea>
      <c:barChart>
        <c:barDir val="col"/>
        <c:grouping val="clustered"/>
        <c:varyColors val="0"/>
        <c:ser>
          <c:idx val="0"/>
          <c:order val="0"/>
          <c:tx>
            <c:strRef>
              <c:f>"DSCR"</c:f>
              <c:strCache>
                <c:ptCount val="1"/>
                <c:pt idx="0">
                  <c:v>DSCR</c:v>
                </c:pt>
              </c:strCache>
            </c:strRef>
          </c:tx>
          <c:spPr>
            <a:solidFill>
              <a:srgbClr val="5b9bd5"/>
            </a:solidFill>
            <a:ln w="0">
              <a:solidFill>
                <a:srgbClr val="5b9bd5"/>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Calculations!$F$5:$O$5</c:f>
              <c:multiLvlStrCache>
                <c:ptCount val="1"/>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multiLvlStrCache>
            </c:multiLvlStrRef>
          </c:cat>
          <c:val>
            <c:numRef>
              <c:f>Calculations!$F$45:$O$45</c:f>
              <c:numCache>
                <c:formatCode>0.00\x</c:formatCode>
                <c:ptCount val="10"/>
                <c:pt idx="0">
                  <c:v>1.27001874941562</c:v>
                </c:pt>
                <c:pt idx="1">
                  <c:v>1.33313382856985</c:v>
                </c:pt>
                <c:pt idx="2">
                  <c:v>1.39938547487699</c:v>
                </c:pt>
                <c:pt idx="3">
                  <c:v>1.46892956263084</c:v>
                </c:pt>
                <c:pt idx="4">
                  <c:v>1.54192971239903</c:v>
                </c:pt>
                <c:pt idx="5">
                  <c:v>1.61855767597776</c:v>
                </c:pt>
                <c:pt idx="6">
                  <c:v>1.69899374047692</c:v>
                </c:pt>
                <c:pt idx="7">
                  <c:v>1.78342715248637</c:v>
                </c:pt>
                <c:pt idx="8">
                  <c:v>1.60641739606569</c:v>
                </c:pt>
                <c:pt idx="9">
                  <c:v>1.46236359599965</c:v>
                </c:pt>
              </c:numCache>
            </c:numRef>
          </c:val>
        </c:ser>
        <c:gapWidth val="50"/>
        <c:overlap val="0"/>
        <c:axId val="16347869"/>
        <c:axId val="30471061"/>
      </c:barChart>
      <c:lineChart>
        <c:grouping val="standard"/>
        <c:varyColors val="0"/>
        <c:ser>
          <c:idx val="1"/>
          <c:order val="1"/>
          <c:tx>
            <c:strRef>
              <c:f>"Reference threshold"</c:f>
              <c:strCache>
                <c:ptCount val="1"/>
                <c:pt idx="0">
                  <c:v>Reference threshold</c:v>
                </c:pt>
              </c:strCache>
            </c:strRef>
          </c:tx>
          <c:spPr>
            <a:solidFill>
              <a:srgbClr val="c00000"/>
            </a:solidFill>
            <a:ln w="19080">
              <a:solidFill>
                <a:srgbClr val="c0000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Calculations!$F$5:$O$5</c:f>
              <c:multiLvlStrCache>
                <c:ptCount val="1"/>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multiLvlStrCache>
            </c:multiLvlStrRef>
          </c:cat>
          <c:val>
            <c:numRef>
              <c:f>Calculations!$F$46:$O$46</c:f>
              <c:numCache>
                <c:formatCode>0.00\x</c:formatCode>
                <c:ptCount val="10"/>
                <c:pt idx="0">
                  <c:v>1.2</c:v>
                </c:pt>
                <c:pt idx="1">
                  <c:v>1.2</c:v>
                </c:pt>
                <c:pt idx="2">
                  <c:v>1.2</c:v>
                </c:pt>
                <c:pt idx="3">
                  <c:v>1.2</c:v>
                </c:pt>
                <c:pt idx="4">
                  <c:v>1.2</c:v>
                </c:pt>
                <c:pt idx="5">
                  <c:v>1.2</c:v>
                </c:pt>
                <c:pt idx="6">
                  <c:v>1.2</c:v>
                </c:pt>
                <c:pt idx="7">
                  <c:v>1.2</c:v>
                </c:pt>
                <c:pt idx="8">
                  <c:v>1.2</c:v>
                </c:pt>
                <c:pt idx="9">
                  <c:v>1.2</c:v>
                </c:pt>
              </c:numCache>
            </c:numRef>
          </c:val>
          <c:smooth val="0"/>
        </c:ser>
        <c:hiLowLines>
          <c:spPr>
            <a:ln w="0">
              <a:noFill/>
            </a:ln>
          </c:spPr>
        </c:hiLowLines>
        <c:marker val="0"/>
        <c:axId val="16347869"/>
        <c:axId val="30471061"/>
      </c:lineChart>
      <c:catAx>
        <c:axId val="16347869"/>
        <c:scaling>
          <c:orientation val="minMax"/>
        </c:scaling>
        <c:delete val="0"/>
        <c:axPos val="b"/>
        <c:title>
          <c:tx>
            <c:rich>
              <a:bodyPr rot="0"/>
              <a:lstStyle/>
              <a:p>
                <a:pPr>
                  <a:defRPr b="1" sz="800" spc="-1" strike="noStrike">
                    <a:solidFill>
                      <a:srgbClr val="404040"/>
                    </a:solidFill>
                    <a:latin typeface="Arial"/>
                  </a:defRPr>
                </a:pPr>
                <a:r>
                  <a:rPr b="1" sz="800" spc="-1" strike="noStrike">
                    <a:solidFill>
                      <a:srgbClr val="404040"/>
                    </a:solidFill>
                    <a:latin typeface="Arial"/>
                  </a:rPr>
                  <a:t>Year</a:t>
                </a:r>
              </a:p>
            </c:rich>
          </c:tx>
          <c:overlay val="0"/>
          <c:spPr>
            <a:noFill/>
            <a:ln w="0">
              <a:noFill/>
            </a:ln>
          </c:spPr>
        </c:title>
        <c:numFmt formatCode="0" sourceLinked="0"/>
        <c:majorTickMark val="none"/>
        <c:minorTickMark val="none"/>
        <c:tickLblPos val="low"/>
        <c:spPr>
          <a:ln w="9360">
            <a:solidFill>
              <a:srgbClr val="878787"/>
            </a:solidFill>
            <a:round/>
          </a:ln>
        </c:spPr>
        <c:txPr>
          <a:bodyPr/>
          <a:lstStyle/>
          <a:p>
            <a:pPr>
              <a:defRPr b="0" sz="800" spc="-1" strike="noStrike">
                <a:solidFill>
                  <a:srgbClr val="404040"/>
                </a:solidFill>
                <a:latin typeface="Arial"/>
              </a:defRPr>
            </a:pPr>
          </a:p>
        </c:txPr>
        <c:crossAx val="30471061"/>
        <c:crosses val="autoZero"/>
        <c:auto val="1"/>
        <c:lblAlgn val="ctr"/>
        <c:lblOffset val="100"/>
        <c:noMultiLvlLbl val="0"/>
      </c:catAx>
      <c:valAx>
        <c:axId val="30471061"/>
        <c:scaling>
          <c:orientation val="minMax"/>
          <c:min val="0"/>
        </c:scaling>
        <c:delete val="0"/>
        <c:axPos val="l"/>
        <c:majorGridlines>
          <c:spPr>
            <a:ln w="9360">
              <a:solidFill>
                <a:srgbClr val="d9d9d9"/>
              </a:solidFill>
              <a:round/>
            </a:ln>
          </c:spPr>
        </c:majorGridlines>
        <c:title>
          <c:tx>
            <c:rich>
              <a:bodyPr rot="-5400000"/>
              <a:lstStyle/>
              <a:p>
                <a:pPr>
                  <a:defRPr b="1" sz="800" spc="-1" strike="noStrike">
                    <a:solidFill>
                      <a:srgbClr val="404040"/>
                    </a:solidFill>
                    <a:latin typeface="Arial"/>
                  </a:defRPr>
                </a:pPr>
                <a:r>
                  <a:rPr b="1" sz="800" spc="-1" strike="noStrike">
                    <a:solidFill>
                      <a:srgbClr val="404040"/>
                    </a:solidFill>
                    <a:latin typeface="Arial"/>
                  </a:rPr>
                  <a:t>DSCR (x)</a:t>
                </a:r>
              </a:p>
            </c:rich>
          </c:tx>
          <c:overlay val="0"/>
          <c:spPr>
            <a:noFill/>
            <a:ln w="0">
              <a:noFill/>
            </a:ln>
          </c:spPr>
        </c:title>
        <c:numFmt formatCode="0.00\x" sourceLinked="0"/>
        <c:majorTickMark val="none"/>
        <c:minorTickMark val="none"/>
        <c:tickLblPos val="nextTo"/>
        <c:spPr>
          <a:ln w="9360">
            <a:solidFill>
              <a:srgbClr val="878787"/>
            </a:solidFill>
            <a:round/>
          </a:ln>
        </c:spPr>
        <c:txPr>
          <a:bodyPr/>
          <a:lstStyle/>
          <a:p>
            <a:pPr>
              <a:defRPr b="0" sz="800" spc="-1" strike="noStrike">
                <a:solidFill>
                  <a:srgbClr val="404040"/>
                </a:solidFill>
                <a:latin typeface="Arial"/>
              </a:defRPr>
            </a:pPr>
          </a:p>
        </c:txPr>
        <c:crossAx val="16347869"/>
        <c:crosses val="autoZero"/>
        <c:crossBetween val="between"/>
        <c:majorUnit val="0.5"/>
      </c:valAx>
      <c:spPr>
        <a:noFill/>
        <a:ln w="0">
          <a:noFill/>
        </a:ln>
      </c:spPr>
    </c:plotArea>
    <c:legend>
      <c:legendPos val="b"/>
      <c:overlay val="0"/>
      <c:spPr>
        <a:noFill/>
        <a:ln w="0">
          <a:noFill/>
        </a:ln>
      </c:spPr>
      <c:txPr>
        <a:bodyPr/>
        <a:lstStyle/>
        <a:p>
          <a:pPr>
            <a:defRPr b="0" sz="800" spc="-1" strike="noStrike">
              <a:solidFill>
                <a:srgbClr val="404040"/>
              </a:solidFill>
              <a:latin typeface="Arial"/>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100" spc="-1" strike="noStrike">
                <a:solidFill>
                  <a:srgbClr val="1f3864"/>
                </a:solidFill>
                <a:latin typeface="Arial"/>
              </a:defRPr>
            </a:pPr>
            <a:r>
              <a:rPr b="1" sz="1100" spc="-1" strike="noStrike">
                <a:solidFill>
                  <a:srgbClr val="1f3864"/>
                </a:solidFill>
                <a:latin typeface="Arial"/>
              </a:rPr>
              <a:t>Cumulative equity cash flow – payback (R m)</a:t>
            </a:r>
          </a:p>
        </c:rich>
      </c:tx>
      <c:overlay val="0"/>
      <c:spPr>
        <a:noFill/>
        <a:ln w="0">
          <a:noFill/>
        </a:ln>
      </c:spPr>
    </c:title>
    <c:autoTitleDeleted val="0"/>
    <c:plotArea>
      <c:barChart>
        <c:barDir val="col"/>
        <c:grouping val="clustered"/>
        <c:varyColors val="0"/>
        <c:ser>
          <c:idx val="0"/>
          <c:order val="0"/>
          <c:tx>
            <c:strRef>
              <c:f>"Cumulative equity cash flow"</c:f>
              <c:strCache>
                <c:ptCount val="1"/>
                <c:pt idx="0">
                  <c:v>Cumulative equity cash flow</c:v>
                </c:pt>
              </c:strCache>
            </c:strRef>
          </c:tx>
          <c:spPr>
            <a:solidFill>
              <a:srgbClr val="1f3864"/>
            </a:solidFill>
            <a:ln w="0">
              <a:solidFill>
                <a:srgbClr val="1f3864"/>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Calculations!$E$5:$Y$5</c:f>
              <c:multiLvlStrCache>
                <c:ptCount val="1"/>
                <c:lvl>
                  <c:pt idx="0">
                    <c:v>Year 20</c:v>
                  </c:pt>
                </c:lvl>
                <c:lvl>
                  <c:pt idx="0">
                    <c:v>Year 19</c:v>
                  </c:pt>
                </c:lvl>
                <c:lvl>
                  <c:pt idx="0">
                    <c:v>Year 18</c:v>
                  </c:pt>
                </c:lvl>
                <c:lvl>
                  <c:pt idx="0">
                    <c:v>Year 17</c:v>
                  </c:pt>
                </c:lvl>
                <c:lvl>
                  <c:pt idx="0">
                    <c:v>Year 16</c:v>
                  </c:pt>
                </c:lvl>
                <c:lvl>
                  <c:pt idx="0">
                    <c:v>Year 15</c:v>
                  </c:pt>
                </c:lvl>
                <c:lvl>
                  <c:pt idx="0">
                    <c:v>Year 14</c:v>
                  </c:pt>
                </c:lvl>
                <c:lvl>
                  <c:pt idx="0">
                    <c:v>Year 13</c:v>
                  </c:pt>
                </c:lvl>
                <c:lvl>
                  <c:pt idx="0">
                    <c:v>Year 12</c:v>
                  </c:pt>
                </c:lvl>
                <c:lvl>
                  <c:pt idx="0">
                    <c:v>Year 11</c:v>
                  </c:pt>
                </c:lvl>
                <c:lvl>
                  <c:pt idx="0">
                    <c:v>Year 10</c:v>
                  </c:pt>
                </c:lvl>
                <c:lvl>
                  <c:pt idx="0">
                    <c:v>Year 9</c:v>
                  </c:pt>
                </c:lvl>
                <c:lvl>
                  <c:pt idx="0">
                    <c:v>Year 8</c:v>
                  </c:pt>
                </c:lvl>
                <c:lvl>
                  <c:pt idx="0">
                    <c:v>Year 7</c:v>
                  </c:pt>
                </c:lvl>
                <c:lvl>
                  <c:pt idx="0">
                    <c:v>Year 6</c:v>
                  </c:pt>
                </c:lvl>
                <c:lvl>
                  <c:pt idx="0">
                    <c:v>Year 5</c:v>
                  </c:pt>
                </c:lvl>
                <c:lvl>
                  <c:pt idx="0">
                    <c:v>Year 4</c:v>
                  </c:pt>
                </c:lvl>
                <c:lvl>
                  <c:pt idx="0">
                    <c:v>Year 3</c:v>
                  </c:pt>
                </c:lvl>
                <c:lvl>
                  <c:pt idx="0">
                    <c:v>Year 2</c:v>
                  </c:pt>
                </c:lvl>
                <c:lvl>
                  <c:pt idx="0">
                    <c:v>Year 1</c:v>
                  </c:pt>
                </c:lvl>
                <c:lvl>
                  <c:pt idx="0">
                    <c:v>Year 0</c:v>
                  </c:pt>
                </c:lvl>
              </c:multiLvlStrCache>
            </c:multiLvlStrRef>
          </c:cat>
          <c:val>
            <c:numRef>
              <c:f>Calculations!$E$52:$Y$52</c:f>
              <c:numCache>
                <c:formatCode>[&gt;=0.5]"R "#,##0;[&lt;=-0.5]"(R "#,##0\);\-</c:formatCode>
                <c:ptCount val="21"/>
                <c:pt idx="0">
                  <c:v>-4200000</c:v>
                </c:pt>
                <c:pt idx="1">
                  <c:v>-3834842.23966401</c:v>
                </c:pt>
                <c:pt idx="2">
                  <c:v>-3384331.29182802</c:v>
                </c:pt>
                <c:pt idx="3">
                  <c:v>-2844225.44424359</c:v>
                </c:pt>
                <c:pt idx="4">
                  <c:v>-2210072.18927073</c:v>
                </c:pt>
                <c:pt idx="5">
                  <c:v>-1477197.74826456</c:v>
                </c:pt>
                <c:pt idx="6">
                  <c:v>-640696.075371435</c:v>
                </c:pt>
                <c:pt idx="7">
                  <c:v>304582.685136249</c:v>
                </c:pt>
                <c:pt idx="8">
                  <c:v>1364044.31514326</c:v>
                </c:pt>
                <c:pt idx="9">
                  <c:v>2184128.17470995</c:v>
                </c:pt>
                <c:pt idx="10">
                  <c:v>2809401.99566323</c:v>
                </c:pt>
                <c:pt idx="11">
                  <c:v>4845766.94818205</c:v>
                </c:pt>
                <c:pt idx="12">
                  <c:v>6983331.28785753</c:v>
                </c:pt>
                <c:pt idx="13">
                  <c:v>9227124.21121066</c:v>
                </c:pt>
                <c:pt idx="14">
                  <c:v>11582424.8444092</c:v>
                </c:pt>
                <c:pt idx="15">
                  <c:v>14054774.6636618</c:v>
                </c:pt>
                <c:pt idx="16">
                  <c:v>16649990.5328483</c:v>
                </c:pt>
                <c:pt idx="17">
                  <c:v>19374178.3890604</c:v>
                </c:pt>
                <c:pt idx="18">
                  <c:v>22233747.6082494</c:v>
                </c:pt>
                <c:pt idx="19">
                  <c:v>25235426.0847806</c:v>
                </c:pt>
                <c:pt idx="20">
                  <c:v>28386276.0603714</c:v>
                </c:pt>
              </c:numCache>
            </c:numRef>
          </c:val>
        </c:ser>
        <c:gapWidth val="40"/>
        <c:overlap val="0"/>
        <c:axId val="96050956"/>
        <c:axId val="58004384"/>
      </c:barChart>
      <c:catAx>
        <c:axId val="96050956"/>
        <c:scaling>
          <c:orientation val="minMax"/>
        </c:scaling>
        <c:delete val="0"/>
        <c:axPos val="b"/>
        <c:title>
          <c:tx>
            <c:rich>
              <a:bodyPr rot="0"/>
              <a:lstStyle/>
              <a:p>
                <a:pPr>
                  <a:defRPr b="1" sz="800" spc="-1" strike="noStrike">
                    <a:solidFill>
                      <a:srgbClr val="404040"/>
                    </a:solidFill>
                    <a:latin typeface="Arial"/>
                  </a:defRPr>
                </a:pPr>
                <a:r>
                  <a:rPr b="1" sz="800" spc="-1" strike="noStrike">
                    <a:solidFill>
                      <a:srgbClr val="404040"/>
                    </a:solidFill>
                    <a:latin typeface="Arial"/>
                  </a:rPr>
                  <a:t>Year</a:t>
                </a:r>
              </a:p>
            </c:rich>
          </c:tx>
          <c:overlay val="0"/>
          <c:spPr>
            <a:noFill/>
            <a:ln w="0">
              <a:noFill/>
            </a:ln>
          </c:spPr>
        </c:title>
        <c:numFmt formatCode="0" sourceLinked="0"/>
        <c:majorTickMark val="none"/>
        <c:minorTickMark val="none"/>
        <c:tickLblPos val="low"/>
        <c:spPr>
          <a:ln w="9360">
            <a:solidFill>
              <a:srgbClr val="878787"/>
            </a:solidFill>
            <a:round/>
          </a:ln>
        </c:spPr>
        <c:txPr>
          <a:bodyPr/>
          <a:lstStyle/>
          <a:p>
            <a:pPr>
              <a:defRPr b="0" sz="800" spc="-1" strike="noStrike">
                <a:solidFill>
                  <a:srgbClr val="404040"/>
                </a:solidFill>
                <a:latin typeface="Arial"/>
              </a:defRPr>
            </a:pPr>
          </a:p>
        </c:txPr>
        <c:crossAx val="58004384"/>
        <c:crosses val="autoZero"/>
        <c:auto val="1"/>
        <c:lblAlgn val="ctr"/>
        <c:lblOffset val="100"/>
        <c:noMultiLvlLbl val="0"/>
      </c:catAx>
      <c:valAx>
        <c:axId val="58004384"/>
        <c:scaling>
          <c:orientation val="minMax"/>
        </c:scaling>
        <c:delete val="0"/>
        <c:axPos val="l"/>
        <c:majorGridlines>
          <c:spPr>
            <a:ln w="9360">
              <a:solidFill>
                <a:srgbClr val="d9d9d9"/>
              </a:solidFill>
              <a:round/>
            </a:ln>
          </c:spPr>
        </c:majorGridlines>
        <c:title>
          <c:tx>
            <c:rich>
              <a:bodyPr rot="-5400000"/>
              <a:lstStyle/>
              <a:p>
                <a:pPr>
                  <a:defRPr b="1" sz="800" spc="-1" strike="noStrike">
                    <a:solidFill>
                      <a:srgbClr val="404040"/>
                    </a:solidFill>
                    <a:latin typeface="Arial"/>
                  </a:defRPr>
                </a:pPr>
                <a:r>
                  <a:rPr b="1" sz="800" spc="-1" strike="noStrike">
                    <a:solidFill>
                      <a:srgbClr val="404040"/>
                    </a:solidFill>
                    <a:latin typeface="Arial"/>
                  </a:rPr>
                  <a:t>R million</a:t>
                </a:r>
              </a:p>
            </c:rich>
          </c:tx>
          <c:overlay val="0"/>
          <c:spPr>
            <a:noFill/>
            <a:ln w="0">
              <a:noFill/>
            </a:ln>
          </c:spPr>
        </c:title>
        <c:numFmt formatCode="\R#,##0.0,,\m" sourceLinked="0"/>
        <c:majorTickMark val="none"/>
        <c:minorTickMark val="none"/>
        <c:tickLblPos val="nextTo"/>
        <c:spPr>
          <a:ln w="9360">
            <a:solidFill>
              <a:srgbClr val="878787"/>
            </a:solidFill>
            <a:round/>
          </a:ln>
        </c:spPr>
        <c:txPr>
          <a:bodyPr/>
          <a:lstStyle/>
          <a:p>
            <a:pPr>
              <a:defRPr b="0" sz="800" spc="-1" strike="noStrike">
                <a:solidFill>
                  <a:srgbClr val="404040"/>
                </a:solidFill>
                <a:latin typeface="Arial"/>
              </a:defRPr>
            </a:pPr>
          </a:p>
        </c:txPr>
        <c:crossAx val="9605095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4</xdr:row>
      <xdr:rowOff>0</xdr:rowOff>
    </xdr:from>
    <xdr:to>
      <xdr:col>16</xdr:col>
      <xdr:colOff>184680</xdr:colOff>
      <xdr:row>19</xdr:row>
      <xdr:rowOff>21960</xdr:rowOff>
    </xdr:to>
    <xdr:graphicFrame>
      <xdr:nvGraphicFramePr>
        <xdr:cNvPr id="0" name="Chart 1"/>
        <xdr:cNvGraphicFramePr/>
      </xdr:nvGraphicFramePr>
      <xdr:xfrm>
        <a:off x="10290960" y="876240"/>
        <a:ext cx="62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21</xdr:row>
      <xdr:rowOff>0</xdr:rowOff>
    </xdr:from>
    <xdr:to>
      <xdr:col>16</xdr:col>
      <xdr:colOff>184680</xdr:colOff>
      <xdr:row>36</xdr:row>
      <xdr:rowOff>21960</xdr:rowOff>
    </xdr:to>
    <xdr:graphicFrame>
      <xdr:nvGraphicFramePr>
        <xdr:cNvPr id="1" name="Chart 2"/>
        <xdr:cNvGraphicFramePr/>
      </xdr:nvGraphicFramePr>
      <xdr:xfrm>
        <a:off x="10290960" y="4114800"/>
        <a:ext cx="629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0</xdr:colOff>
      <xdr:row>38</xdr:row>
      <xdr:rowOff>0</xdr:rowOff>
    </xdr:from>
    <xdr:to>
      <xdr:col>16</xdr:col>
      <xdr:colOff>184680</xdr:colOff>
      <xdr:row>53</xdr:row>
      <xdr:rowOff>22320</xdr:rowOff>
    </xdr:to>
    <xdr:graphicFrame>
      <xdr:nvGraphicFramePr>
        <xdr:cNvPr id="2" name="Chart 3"/>
        <xdr:cNvGraphicFramePr/>
      </xdr:nvGraphicFramePr>
      <xdr:xfrm>
        <a:off x="10290960" y="7353360"/>
        <a:ext cx="6299640" cy="287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100"/>
  </cols>
  <sheetData>
    <row r="2" customFormat="false" ht="30" hidden="false" customHeight="true" outlineLevel="0" collapsed="false">
      <c r="B2" s="1" t="s">
        <v>0</v>
      </c>
    </row>
    <row r="3" customFormat="false" ht="16.15" hidden="false" customHeight="false" outlineLevel="0" collapsed="false">
      <c r="B3" s="2" t="s">
        <v>1</v>
      </c>
    </row>
    <row r="5" customFormat="false" ht="15" hidden="false" customHeight="false" outlineLevel="0" collapsed="false">
      <c r="B5" s="3" t="s">
        <v>2</v>
      </c>
      <c r="C5" s="4" t="s">
        <v>3</v>
      </c>
    </row>
    <row r="6" customFormat="false" ht="15" hidden="false" customHeight="false" outlineLevel="0" collapsed="false">
      <c r="B6" s="3" t="s">
        <v>4</v>
      </c>
      <c r="C6" s="4" t="s">
        <v>5</v>
      </c>
    </row>
    <row r="7" customFormat="false" ht="15" hidden="false" customHeight="false" outlineLevel="0" collapsed="false">
      <c r="B7" s="3" t="s">
        <v>6</v>
      </c>
      <c r="C7" s="4" t="s">
        <v>7</v>
      </c>
    </row>
    <row r="9" customFormat="false" ht="15" hidden="false" customHeight="false" outlineLevel="0" collapsed="false">
      <c r="B9" s="5" t="s">
        <v>8</v>
      </c>
      <c r="C9" s="5"/>
    </row>
    <row r="10" customFormat="false" ht="42" hidden="false" customHeight="true" outlineLevel="0" collapsed="false">
      <c r="B10" s="6" t="s">
        <v>9</v>
      </c>
      <c r="C10" s="6"/>
    </row>
    <row r="11" customFormat="false" ht="30" hidden="false" customHeight="true" outlineLevel="0" collapsed="false">
      <c r="B11" s="7" t="s">
        <v>10</v>
      </c>
      <c r="C11" s="7"/>
    </row>
    <row r="13" customFormat="false" ht="15" hidden="false" customHeight="false" outlineLevel="0" collapsed="false">
      <c r="B13" s="5" t="s">
        <v>11</v>
      </c>
      <c r="C13" s="5"/>
    </row>
    <row r="14" customFormat="false" ht="13.5" hidden="false" customHeight="true" outlineLevel="0" collapsed="false">
      <c r="B14" s="8" t="s">
        <v>12</v>
      </c>
      <c r="C14" s="9" t="s">
        <v>13</v>
      </c>
    </row>
    <row r="15" customFormat="false" ht="13.5" hidden="false" customHeight="true" outlineLevel="0" collapsed="false">
      <c r="B15" s="8" t="s">
        <v>14</v>
      </c>
      <c r="C15" s="9" t="s">
        <v>15</v>
      </c>
    </row>
    <row r="16" customFormat="false" ht="27" hidden="false" customHeight="true" outlineLevel="0" collapsed="false">
      <c r="B16" s="8" t="s">
        <v>16</v>
      </c>
      <c r="C16" s="9" t="s">
        <v>17</v>
      </c>
    </row>
    <row r="17" customFormat="false" ht="13.5" hidden="false" customHeight="true" outlineLevel="0" collapsed="false">
      <c r="B17" s="8" t="s">
        <v>18</v>
      </c>
      <c r="C17" s="9" t="s">
        <v>19</v>
      </c>
    </row>
    <row r="18" customFormat="false" ht="27" hidden="false" customHeight="true" outlineLevel="0" collapsed="false">
      <c r="B18" s="8" t="s">
        <v>20</v>
      </c>
      <c r="C18" s="9" t="s">
        <v>21</v>
      </c>
    </row>
    <row r="20" customFormat="false" ht="15" hidden="false" customHeight="false" outlineLevel="0" collapsed="false">
      <c r="B20" s="5" t="s">
        <v>22</v>
      </c>
      <c r="C20" s="5"/>
    </row>
    <row r="21" customFormat="false" ht="13.5" hidden="false" customHeight="true" outlineLevel="0" collapsed="false">
      <c r="B21" s="8" t="s">
        <v>23</v>
      </c>
      <c r="C21" s="9" t="s">
        <v>24</v>
      </c>
    </row>
    <row r="22" customFormat="false" ht="13.5" hidden="false" customHeight="true" outlineLevel="0" collapsed="false">
      <c r="B22" s="8" t="s">
        <v>25</v>
      </c>
      <c r="C22" s="9" t="s">
        <v>26</v>
      </c>
    </row>
    <row r="23" customFormat="false" ht="13.5" hidden="false" customHeight="true" outlineLevel="0" collapsed="false">
      <c r="B23" s="8" t="s">
        <v>27</v>
      </c>
      <c r="C23" s="9" t="s">
        <v>28</v>
      </c>
    </row>
    <row r="24" customFormat="false" ht="13.5" hidden="false" customHeight="true" outlineLevel="0" collapsed="false">
      <c r="B24" s="8" t="s">
        <v>29</v>
      </c>
      <c r="C24" s="9" t="s">
        <v>30</v>
      </c>
    </row>
    <row r="25" customFormat="false" ht="13.5" hidden="false" customHeight="true" outlineLevel="0" collapsed="false">
      <c r="B25" s="8" t="s">
        <v>31</v>
      </c>
      <c r="C25" s="9" t="s">
        <v>32</v>
      </c>
    </row>
    <row r="27" customFormat="false" ht="15" hidden="false" customHeight="false" outlineLevel="0" collapsed="false">
      <c r="B27" s="5" t="s">
        <v>33</v>
      </c>
      <c r="C27" s="5"/>
    </row>
    <row r="28" customFormat="false" ht="15" hidden="false" customHeight="false" outlineLevel="0" collapsed="false">
      <c r="B28" s="10" t="s">
        <v>34</v>
      </c>
      <c r="C28" s="4" t="s">
        <v>35</v>
      </c>
    </row>
    <row r="29" customFormat="false" ht="15" hidden="false" customHeight="false" outlineLevel="0" collapsed="false">
      <c r="B29" s="11" t="s">
        <v>34</v>
      </c>
      <c r="C29" s="4" t="s">
        <v>36</v>
      </c>
    </row>
    <row r="30" customFormat="false" ht="15" hidden="false" customHeight="false" outlineLevel="0" collapsed="false">
      <c r="B30" s="12" t="s">
        <v>34</v>
      </c>
      <c r="C30" s="4" t="s">
        <v>37</v>
      </c>
    </row>
    <row r="31" customFormat="false" ht="15" hidden="false" customHeight="false" outlineLevel="0" collapsed="false">
      <c r="B31" s="13" t="s">
        <v>38</v>
      </c>
      <c r="C31" s="4" t="s">
        <v>39</v>
      </c>
    </row>
    <row r="33" customFormat="false" ht="15" hidden="false" customHeight="false" outlineLevel="0" collapsed="false">
      <c r="B33" s="5" t="s">
        <v>40</v>
      </c>
      <c r="C33" s="5"/>
    </row>
    <row r="34" customFormat="false" ht="13.5" hidden="false" customHeight="true" outlineLevel="0" collapsed="false">
      <c r="B34" s="14" t="s">
        <v>41</v>
      </c>
      <c r="C34" s="9" t="s">
        <v>42</v>
      </c>
    </row>
    <row r="35" customFormat="false" ht="13.5" hidden="false" customHeight="true" outlineLevel="0" collapsed="false">
      <c r="B35" s="14" t="s">
        <v>41</v>
      </c>
      <c r="C35" s="9" t="s">
        <v>43</v>
      </c>
    </row>
    <row r="36" customFormat="false" ht="13.5" hidden="false" customHeight="true" outlineLevel="0" collapsed="false">
      <c r="B36" s="14" t="s">
        <v>41</v>
      </c>
      <c r="C36" s="9" t="s">
        <v>44</v>
      </c>
    </row>
    <row r="37" customFormat="false" ht="13.5" hidden="false" customHeight="true" outlineLevel="0" collapsed="false">
      <c r="B37" s="14" t="s">
        <v>41</v>
      </c>
      <c r="C37" s="9" t="s">
        <v>45</v>
      </c>
    </row>
    <row r="38" customFormat="false" ht="27" hidden="false" customHeight="true" outlineLevel="0" collapsed="false">
      <c r="B38" s="14" t="s">
        <v>41</v>
      </c>
      <c r="C38" s="9" t="s">
        <v>46</v>
      </c>
    </row>
    <row r="39" customFormat="false" ht="13.5" hidden="false" customHeight="true" outlineLevel="0" collapsed="false">
      <c r="B39" s="14" t="s">
        <v>41</v>
      </c>
      <c r="C39" s="9" t="s">
        <v>47</v>
      </c>
    </row>
    <row r="40" customFormat="false" ht="27" hidden="false" customHeight="true" outlineLevel="0" collapsed="false">
      <c r="B40" s="14" t="s">
        <v>41</v>
      </c>
      <c r="C40" s="9" t="s">
        <v>48</v>
      </c>
    </row>
    <row r="42" customFormat="false" ht="39.75" hidden="false" customHeight="true" outlineLevel="0" collapsed="false">
      <c r="B42" s="15" t="s">
        <v>49</v>
      </c>
      <c r="C42" s="15"/>
    </row>
  </sheetData>
  <mergeCells count="3">
    <mergeCell ref="B10:C10"/>
    <mergeCell ref="B11:C11"/>
    <mergeCell ref="B42:C42"/>
  </mergeCells>
  <printOptions headings="false" gridLines="false" gridLinesSet="true" horizontalCentered="tru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Illustrative reference case – not investment, tax or legal advice&amp;R&amp;8 &amp;A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16"/>
    <col collapsed="false" customWidth="true" hidden="false" outlineLevel="0" max="4" min="4" style="0" width="14"/>
    <col collapsed="false" customWidth="true" hidden="false" outlineLevel="0" max="5" min="5" style="0" width="100"/>
  </cols>
  <sheetData>
    <row r="1" customFormat="false" ht="24" hidden="false" customHeight="true" outlineLevel="0" collapsed="false">
      <c r="B1" s="16" t="s">
        <v>50</v>
      </c>
    </row>
    <row r="2" customFormat="false" ht="15" hidden="false" customHeight="false" outlineLevel="0" collapsed="false">
      <c r="B2" s="17" t="s">
        <v>51</v>
      </c>
    </row>
    <row r="3" customFormat="false" ht="15" hidden="false" customHeight="false" outlineLevel="0" collapsed="false">
      <c r="B3" s="18" t="s">
        <v>52</v>
      </c>
    </row>
    <row r="5" customFormat="false" ht="15" hidden="false" customHeight="false" outlineLevel="0" collapsed="false">
      <c r="B5" s="19" t="s">
        <v>53</v>
      </c>
      <c r="C5" s="20" t="s">
        <v>54</v>
      </c>
      <c r="D5" s="19" t="s">
        <v>55</v>
      </c>
      <c r="E5" s="19" t="s">
        <v>56</v>
      </c>
    </row>
    <row r="6" customFormat="false" ht="15" hidden="false" customHeight="false" outlineLevel="0" collapsed="false">
      <c r="B6" s="21" t="s">
        <v>57</v>
      </c>
      <c r="C6" s="21"/>
      <c r="D6" s="21"/>
      <c r="E6" s="21"/>
    </row>
    <row r="7" customFormat="false" ht="15" hidden="false" customHeight="false" outlineLevel="0" collapsed="false">
      <c r="B7" s="4" t="s">
        <v>58</v>
      </c>
      <c r="C7" s="22" t="n">
        <v>1000</v>
      </c>
      <c r="D7" s="23" t="s">
        <v>59</v>
      </c>
      <c r="E7" s="24" t="s">
        <v>60</v>
      </c>
    </row>
    <row r="8" customFormat="false" ht="15" hidden="false" customHeight="false" outlineLevel="0" collapsed="false">
      <c r="B8" s="4" t="s">
        <v>61</v>
      </c>
      <c r="C8" s="22" t="n">
        <v>1650</v>
      </c>
      <c r="D8" s="23" t="s">
        <v>62</v>
      </c>
      <c r="E8" s="24" t="s">
        <v>63</v>
      </c>
    </row>
    <row r="9" customFormat="false" ht="15" hidden="false" customHeight="false" outlineLevel="0" collapsed="false">
      <c r="B9" s="4" t="s">
        <v>64</v>
      </c>
      <c r="C9" s="25" t="n">
        <v>0.005</v>
      </c>
      <c r="D9" s="23" t="s">
        <v>65</v>
      </c>
      <c r="E9" s="24" t="s">
        <v>66</v>
      </c>
    </row>
    <row r="11" customFormat="false" ht="15" hidden="false" customHeight="false" outlineLevel="0" collapsed="false">
      <c r="B11" s="21" t="s">
        <v>67</v>
      </c>
      <c r="C11" s="21"/>
      <c r="D11" s="21"/>
      <c r="E11" s="21"/>
    </row>
    <row r="12" customFormat="false" ht="15" hidden="false" customHeight="false" outlineLevel="0" collapsed="false">
      <c r="B12" s="4" t="s">
        <v>68</v>
      </c>
      <c r="C12" s="26" t="n">
        <v>12</v>
      </c>
      <c r="D12" s="23" t="s">
        <v>69</v>
      </c>
      <c r="E12" s="24" t="s">
        <v>70</v>
      </c>
    </row>
    <row r="14" customFormat="false" ht="15" hidden="false" customHeight="false" outlineLevel="0" collapsed="false">
      <c r="B14" s="21" t="s">
        <v>71</v>
      </c>
      <c r="C14" s="21"/>
      <c r="D14" s="21"/>
      <c r="E14" s="21"/>
    </row>
    <row r="15" customFormat="false" ht="15" hidden="false" customHeight="false" outlineLevel="0" collapsed="false">
      <c r="B15" s="4" t="s">
        <v>72</v>
      </c>
      <c r="C15" s="27" t="n">
        <v>180</v>
      </c>
      <c r="D15" s="23" t="s">
        <v>73</v>
      </c>
      <c r="E15" s="24" t="s">
        <v>74</v>
      </c>
    </row>
    <row r="16" customFormat="false" ht="15" hidden="false" customHeight="false" outlineLevel="0" collapsed="false">
      <c r="B16" s="4" t="s">
        <v>75</v>
      </c>
      <c r="C16" s="28" t="n">
        <v>0.05</v>
      </c>
      <c r="D16" s="23" t="s">
        <v>65</v>
      </c>
      <c r="E16" s="24" t="s">
        <v>76</v>
      </c>
    </row>
    <row r="18" customFormat="false" ht="15" hidden="false" customHeight="false" outlineLevel="0" collapsed="false">
      <c r="B18" s="21" t="s">
        <v>77</v>
      </c>
      <c r="C18" s="21"/>
      <c r="D18" s="21"/>
      <c r="E18" s="21"/>
    </row>
    <row r="19" customFormat="false" ht="15" hidden="false" customHeight="false" outlineLevel="0" collapsed="false">
      <c r="B19" s="4" t="s">
        <v>78</v>
      </c>
      <c r="C19" s="29" t="n">
        <v>1.15</v>
      </c>
      <c r="D19" s="23" t="s">
        <v>79</v>
      </c>
      <c r="E19" s="24" t="s">
        <v>80</v>
      </c>
    </row>
    <row r="20" customFormat="false" ht="15" hidden="false" customHeight="false" outlineLevel="0" collapsed="false">
      <c r="B20" s="4" t="s">
        <v>81</v>
      </c>
      <c r="C20" s="28" t="n">
        <v>0.055</v>
      </c>
      <c r="D20" s="23" t="s">
        <v>65</v>
      </c>
      <c r="E20" s="24" t="s">
        <v>82</v>
      </c>
    </row>
    <row r="21" customFormat="false" ht="15" hidden="false" customHeight="false" outlineLevel="0" collapsed="false">
      <c r="B21" s="4" t="s">
        <v>83</v>
      </c>
      <c r="C21" s="30" t="n">
        <v>20</v>
      </c>
      <c r="D21" s="23" t="s">
        <v>84</v>
      </c>
      <c r="E21" s="24" t="s">
        <v>85</v>
      </c>
    </row>
    <row r="23" customFormat="false" ht="15" hidden="false" customHeight="false" outlineLevel="0" collapsed="false">
      <c r="B23" s="21" t="s">
        <v>86</v>
      </c>
      <c r="C23" s="21"/>
      <c r="D23" s="21"/>
      <c r="E23" s="21"/>
    </row>
    <row r="24" customFormat="false" ht="15" hidden="false" customHeight="false" outlineLevel="0" collapsed="false">
      <c r="B24" s="4" t="s">
        <v>87</v>
      </c>
      <c r="C24" s="28" t="n">
        <v>0.65</v>
      </c>
      <c r="D24" s="23" t="s">
        <v>88</v>
      </c>
      <c r="E24" s="24" t="s">
        <v>89</v>
      </c>
    </row>
    <row r="25" customFormat="false" ht="15" hidden="false" customHeight="false" outlineLevel="0" collapsed="false">
      <c r="B25" s="4" t="s">
        <v>90</v>
      </c>
      <c r="C25" s="28" t="n">
        <v>0.115</v>
      </c>
      <c r="D25" s="23" t="s">
        <v>91</v>
      </c>
      <c r="E25" s="24" t="s">
        <v>92</v>
      </c>
    </row>
    <row r="26" customFormat="false" ht="15" hidden="false" customHeight="false" outlineLevel="0" collapsed="false">
      <c r="B26" s="4" t="s">
        <v>93</v>
      </c>
      <c r="C26" s="30" t="n">
        <v>10</v>
      </c>
      <c r="D26" s="23" t="s">
        <v>84</v>
      </c>
      <c r="E26" s="24" t="s">
        <v>94</v>
      </c>
    </row>
    <row r="28" customFormat="false" ht="15" hidden="false" customHeight="false" outlineLevel="0" collapsed="false">
      <c r="B28" s="21" t="s">
        <v>95</v>
      </c>
      <c r="C28" s="21"/>
      <c r="D28" s="21"/>
      <c r="E28" s="21"/>
    </row>
    <row r="29" customFormat="false" ht="15" hidden="false" customHeight="false" outlineLevel="0" collapsed="false">
      <c r="B29" s="4" t="s">
        <v>96</v>
      </c>
      <c r="C29" s="28" t="n">
        <v>0.27</v>
      </c>
      <c r="D29" s="23" t="s">
        <v>97</v>
      </c>
      <c r="E29" s="24" t="s">
        <v>98</v>
      </c>
    </row>
    <row r="30" customFormat="false" ht="15" hidden="false" customHeight="false" outlineLevel="0" collapsed="false">
      <c r="B30" s="4" t="s">
        <v>99</v>
      </c>
      <c r="C30" s="28" t="n">
        <v>1</v>
      </c>
      <c r="D30" s="23" t="s">
        <v>88</v>
      </c>
      <c r="E30" s="24" t="s">
        <v>100</v>
      </c>
    </row>
    <row r="31" customFormat="false" ht="15" hidden="false" customHeight="false" outlineLevel="0" collapsed="false">
      <c r="B31" s="4" t="s">
        <v>101</v>
      </c>
      <c r="C31" s="28" t="n">
        <v>0</v>
      </c>
      <c r="D31" s="23" t="s">
        <v>88</v>
      </c>
      <c r="E31" s="24" t="s">
        <v>102</v>
      </c>
    </row>
    <row r="32" customFormat="false" ht="15" hidden="false" customHeight="false" outlineLevel="0" collapsed="false">
      <c r="B32" s="4" t="s">
        <v>103</v>
      </c>
      <c r="C32" s="28" t="n">
        <v>0</v>
      </c>
      <c r="D32" s="23" t="s">
        <v>88</v>
      </c>
      <c r="E32" s="24" t="s">
        <v>104</v>
      </c>
    </row>
    <row r="34" customFormat="false" ht="15" hidden="false" customHeight="false" outlineLevel="0" collapsed="false">
      <c r="B34" s="21" t="s">
        <v>105</v>
      </c>
      <c r="C34" s="21"/>
      <c r="D34" s="21"/>
      <c r="E34" s="21"/>
    </row>
    <row r="35" customFormat="false" ht="15" hidden="false" customHeight="false" outlineLevel="0" collapsed="false">
      <c r="B35" s="4" t="s">
        <v>106</v>
      </c>
      <c r="C35" s="28" t="n">
        <v>0.16</v>
      </c>
      <c r="D35" s="23" t="s">
        <v>97</v>
      </c>
      <c r="E35" s="24" t="s">
        <v>107</v>
      </c>
    </row>
    <row r="36" customFormat="false" ht="15" hidden="false" customHeight="false" outlineLevel="0" collapsed="false">
      <c r="B36" s="4" t="s">
        <v>108</v>
      </c>
      <c r="C36" s="28" t="n">
        <v>0.1</v>
      </c>
      <c r="D36" s="23" t="s">
        <v>97</v>
      </c>
      <c r="E36" s="24" t="s">
        <v>109</v>
      </c>
    </row>
    <row r="37" customFormat="false" ht="15" hidden="false" customHeight="false" outlineLevel="0" collapsed="false">
      <c r="B37" s="4" t="s">
        <v>110</v>
      </c>
      <c r="C37" s="31" t="n">
        <v>1.2</v>
      </c>
      <c r="D37" s="23" t="s">
        <v>111</v>
      </c>
      <c r="E37" s="24" t="s">
        <v>112</v>
      </c>
    </row>
    <row r="39" customFormat="false" ht="15" hidden="false" customHeight="false" outlineLevel="0" collapsed="false">
      <c r="B39" s="21" t="s">
        <v>113</v>
      </c>
      <c r="C39" s="21"/>
      <c r="D39" s="21"/>
      <c r="E39" s="21"/>
    </row>
    <row r="40" customFormat="false" ht="15" hidden="false" customHeight="false" outlineLevel="0" collapsed="false">
      <c r="B40" s="4" t="s">
        <v>114</v>
      </c>
      <c r="C40" s="28" t="n">
        <v>0.1</v>
      </c>
      <c r="D40" s="23" t="s">
        <v>97</v>
      </c>
      <c r="E40" s="24" t="s">
        <v>115</v>
      </c>
    </row>
    <row r="41" customFormat="false" ht="15" hidden="false" customHeight="false" outlineLevel="0" collapsed="false">
      <c r="B41" s="4" t="s">
        <v>116</v>
      </c>
      <c r="C41" s="28" t="n">
        <v>0.1</v>
      </c>
      <c r="D41" s="23" t="s">
        <v>97</v>
      </c>
      <c r="E41" s="24" t="s">
        <v>117</v>
      </c>
    </row>
    <row r="43" customFormat="false" ht="15" hidden="false" customHeight="false" outlineLevel="0" collapsed="false">
      <c r="B43" s="21" t="s">
        <v>118</v>
      </c>
      <c r="C43" s="21"/>
      <c r="D43" s="21"/>
      <c r="E43" s="21"/>
    </row>
    <row r="44" customFormat="false" ht="15" hidden="false" customHeight="false" outlineLevel="0" collapsed="false">
      <c r="B44" s="4" t="s">
        <v>119</v>
      </c>
      <c r="C44" s="32" t="n">
        <f aca="false">Size_kWp*1000*Capex_per_Wp</f>
        <v>12000000</v>
      </c>
      <c r="D44" s="23" t="s">
        <v>120</v>
      </c>
      <c r="E44" s="24" t="s">
        <v>121</v>
      </c>
    </row>
    <row r="45" customFormat="false" ht="15" hidden="false" customHeight="false" outlineLevel="0" collapsed="false">
      <c r="B45" s="4" t="s">
        <v>122</v>
      </c>
      <c r="C45" s="32" t="n">
        <f aca="false">Capex_Total*Gearing</f>
        <v>7800000</v>
      </c>
      <c r="D45" s="23" t="s">
        <v>120</v>
      </c>
      <c r="E45" s="24" t="s">
        <v>123</v>
      </c>
    </row>
    <row r="46" customFormat="false" ht="15" hidden="false" customHeight="false" outlineLevel="0" collapsed="false">
      <c r="B46" s="4" t="s">
        <v>124</v>
      </c>
      <c r="C46" s="32" t="n">
        <f aca="false">Capex_Total-Debt_Amount</f>
        <v>4200000</v>
      </c>
      <c r="D46" s="23" t="s">
        <v>120</v>
      </c>
      <c r="E46" s="24" t="s">
        <v>125</v>
      </c>
    </row>
    <row r="47" customFormat="false" ht="15" hidden="false" customHeight="false" outlineLevel="0" collapsed="false">
      <c r="B47" s="4" t="s">
        <v>126</v>
      </c>
      <c r="C47" s="32" t="n">
        <f aca="false">-PMT(Interest_Rate,Debt_Tenor,Debt_Amount)</f>
        <v>1352342.23966401</v>
      </c>
      <c r="D47" s="23" t="s">
        <v>127</v>
      </c>
      <c r="E47" s="24" t="s">
        <v>128</v>
      </c>
    </row>
    <row r="48" customFormat="false" ht="15" hidden="false" customHeight="false" outlineLevel="0" collapsed="false">
      <c r="B48" s="4" t="s">
        <v>129</v>
      </c>
      <c r="C48" s="33" t="n">
        <f aca="false">Size_kWp*Specific_Yield</f>
        <v>1650000</v>
      </c>
      <c r="D48" s="23" t="s">
        <v>130</v>
      </c>
      <c r="E48" s="24" t="s">
        <v>131</v>
      </c>
    </row>
    <row r="49" customFormat="false" ht="15" hidden="false" customHeight="false" outlineLevel="0" collapsed="false">
      <c r="B49" s="4" t="s">
        <v>132</v>
      </c>
      <c r="C49" s="32" t="n">
        <f aca="false">Opex_per_kWp*Size_kWp</f>
        <v>180000</v>
      </c>
      <c r="D49" s="23" t="s">
        <v>120</v>
      </c>
      <c r="E49" s="24" t="s">
        <v>133</v>
      </c>
    </row>
    <row r="50" customFormat="false" ht="15" hidden="false" customHeight="false" outlineLevel="0" collapsed="false">
      <c r="B50" s="4" t="s">
        <v>134</v>
      </c>
      <c r="C50" s="34" t="n">
        <f aca="false">Tax_Dep_Y1+Tax_Dep_Y2+Tax_Dep_Y3</f>
        <v>1</v>
      </c>
      <c r="D50" s="23" t="s">
        <v>97</v>
      </c>
      <c r="E50" s="24" t="s">
        <v>135</v>
      </c>
    </row>
    <row r="52" customFormat="false" ht="15" hidden="false" customHeight="false" outlineLevel="0" collapsed="false">
      <c r="B52" s="21" t="s">
        <v>136</v>
      </c>
      <c r="C52" s="21"/>
      <c r="D52" s="21"/>
      <c r="E52" s="21"/>
    </row>
    <row r="53" customFormat="false" ht="25.5" hidden="false" customHeight="true" outlineLevel="0" collapsed="false">
      <c r="B53" s="8" t="s">
        <v>137</v>
      </c>
      <c r="C53" s="15" t="s">
        <v>138</v>
      </c>
      <c r="D53" s="15"/>
      <c r="E53" s="15"/>
    </row>
    <row r="54" customFormat="false" ht="25.5" hidden="false" customHeight="true" outlineLevel="0" collapsed="false">
      <c r="B54" s="8" t="s">
        <v>139</v>
      </c>
      <c r="C54" s="15" t="s">
        <v>140</v>
      </c>
      <c r="D54" s="15"/>
      <c r="E54" s="15"/>
    </row>
    <row r="56" customFormat="false" ht="15" hidden="false" customHeight="false" outlineLevel="0" collapsed="false">
      <c r="B56" s="24" t="s">
        <v>141</v>
      </c>
    </row>
  </sheetData>
  <mergeCells count="2">
    <mergeCell ref="C53:E53"/>
    <mergeCell ref="C54:E54"/>
  </mergeCells>
  <dataValidations count="3">
    <dataValidation allowBlank="false" error="Enter whole years between 1 and 25." errorStyle="stop" errorTitle="Term" operator="between" showDropDown="false" showErrorMessage="true" showInputMessage="false" sqref="C21" type="whole">
      <formula1>1</formula1>
      <formula2>25</formula2>
    </dataValidation>
    <dataValidation allowBlank="false" error="Enter whole years; tenor must not exceed term." errorStyle="stop" errorTitle="Tenor" operator="between" showDropDown="false" showErrorMessage="true" showInputMessage="false" sqref="C26" type="whole">
      <formula1>1</formula1>
      <formula2>25</formula2>
    </dataValidation>
    <dataValidation allowBlank="false" error="Enter a value between 0% and 100%." errorStyle="stop" errorTitle="Percentage" operator="between" showDropDown="false" showErrorMessage="true" showInputMessage="false" sqref="C9 C24 C29:C32 C40:C41" type="decimal">
      <formula1>0</formula1>
      <formula2>1</formula2>
    </dataValidation>
  </dataValidations>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Illustrative reference case – not investment, tax or legal advice&amp;R&amp;8 &amp;A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D77"/>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9"/>
    <col collapsed="false" customWidth="true" hidden="false" outlineLevel="0" max="4" min="4" style="0" width="16"/>
    <col collapsed="false" customWidth="true" hidden="false" outlineLevel="0" max="30" min="5" style="0" width="13.5"/>
  </cols>
  <sheetData>
    <row r="1" customFormat="false" ht="24" hidden="false" customHeight="true" outlineLevel="0" collapsed="false">
      <c r="B1" s="16" t="s">
        <v>142</v>
      </c>
    </row>
    <row r="2" customFormat="false" ht="15" hidden="false" customHeight="false" outlineLevel="0" collapsed="false">
      <c r="B2" s="17" t="s">
        <v>143</v>
      </c>
    </row>
    <row r="3" customFormat="false" ht="15" hidden="false" customHeight="false" outlineLevel="0" collapsed="false">
      <c r="B3" s="18" t="s">
        <v>52</v>
      </c>
    </row>
    <row r="5" customFormat="false" ht="15" hidden="false" customHeight="false" outlineLevel="0" collapsed="false">
      <c r="B5" s="5" t="s">
        <v>144</v>
      </c>
      <c r="C5" s="5" t="s">
        <v>55</v>
      </c>
      <c r="D5" s="35" t="s">
        <v>145</v>
      </c>
      <c r="E5" s="36" t="n">
        <v>0</v>
      </c>
      <c r="F5" s="36" t="n">
        <f aca="false">E5+1</f>
        <v>1</v>
      </c>
      <c r="G5" s="36" t="n">
        <f aca="false">F5+1</f>
        <v>2</v>
      </c>
      <c r="H5" s="36" t="n">
        <f aca="false">G5+1</f>
        <v>3</v>
      </c>
      <c r="I5" s="36" t="n">
        <f aca="false">H5+1</f>
        <v>4</v>
      </c>
      <c r="J5" s="36" t="n">
        <f aca="false">I5+1</f>
        <v>5</v>
      </c>
      <c r="K5" s="36" t="n">
        <f aca="false">J5+1</f>
        <v>6</v>
      </c>
      <c r="L5" s="36" t="n">
        <f aca="false">K5+1</f>
        <v>7</v>
      </c>
      <c r="M5" s="36" t="n">
        <f aca="false">L5+1</f>
        <v>8</v>
      </c>
      <c r="N5" s="36" t="n">
        <f aca="false">M5+1</f>
        <v>9</v>
      </c>
      <c r="O5" s="36" t="n">
        <f aca="false">N5+1</f>
        <v>10</v>
      </c>
      <c r="P5" s="36" t="n">
        <f aca="false">O5+1</f>
        <v>11</v>
      </c>
      <c r="Q5" s="36" t="n">
        <f aca="false">P5+1</f>
        <v>12</v>
      </c>
      <c r="R5" s="36" t="n">
        <f aca="false">Q5+1</f>
        <v>13</v>
      </c>
      <c r="S5" s="36" t="n">
        <f aca="false">R5+1</f>
        <v>14</v>
      </c>
      <c r="T5" s="36" t="n">
        <f aca="false">S5+1</f>
        <v>15</v>
      </c>
      <c r="U5" s="36" t="n">
        <f aca="false">T5+1</f>
        <v>16</v>
      </c>
      <c r="V5" s="36" t="n">
        <f aca="false">U5+1</f>
        <v>17</v>
      </c>
      <c r="W5" s="36" t="n">
        <f aca="false">V5+1</f>
        <v>18</v>
      </c>
      <c r="X5" s="36" t="n">
        <f aca="false">W5+1</f>
        <v>19</v>
      </c>
      <c r="Y5" s="36" t="n">
        <f aca="false">X5+1</f>
        <v>20</v>
      </c>
      <c r="Z5" s="36" t="n">
        <f aca="false">Y5+1</f>
        <v>21</v>
      </c>
      <c r="AA5" s="36" t="n">
        <f aca="false">Z5+1</f>
        <v>22</v>
      </c>
      <c r="AB5" s="36" t="n">
        <f aca="false">AA5+1</f>
        <v>23</v>
      </c>
      <c r="AC5" s="36" t="n">
        <f aca="false">AB5+1</f>
        <v>24</v>
      </c>
      <c r="AD5" s="36" t="n">
        <f aca="false">AC5+1</f>
        <v>25</v>
      </c>
    </row>
    <row r="6" customFormat="false" ht="15" hidden="false" customHeight="false" outlineLevel="0" collapsed="false">
      <c r="B6" s="4" t="s">
        <v>146</v>
      </c>
      <c r="C6" s="24" t="s">
        <v>147</v>
      </c>
      <c r="E6" s="37" t="n">
        <f aca="false">IF(AND(E$5&gt;=1,E$5&lt;=PPA_Term),1,0)</f>
        <v>0</v>
      </c>
      <c r="F6" s="37" t="n">
        <f aca="false">IF(AND(F$5&gt;=1,F$5&lt;=PPA_Term),1,0)</f>
        <v>1</v>
      </c>
      <c r="G6" s="37" t="n">
        <f aca="false">IF(AND(G$5&gt;=1,G$5&lt;=PPA_Term),1,0)</f>
        <v>1</v>
      </c>
      <c r="H6" s="37" t="n">
        <f aca="false">IF(AND(H$5&gt;=1,H$5&lt;=PPA_Term),1,0)</f>
        <v>1</v>
      </c>
      <c r="I6" s="37" t="n">
        <f aca="false">IF(AND(I$5&gt;=1,I$5&lt;=PPA_Term),1,0)</f>
        <v>1</v>
      </c>
      <c r="J6" s="37" t="n">
        <f aca="false">IF(AND(J$5&gt;=1,J$5&lt;=PPA_Term),1,0)</f>
        <v>1</v>
      </c>
      <c r="K6" s="37" t="n">
        <f aca="false">IF(AND(K$5&gt;=1,K$5&lt;=PPA_Term),1,0)</f>
        <v>1</v>
      </c>
      <c r="L6" s="37" t="n">
        <f aca="false">IF(AND(L$5&gt;=1,L$5&lt;=PPA_Term),1,0)</f>
        <v>1</v>
      </c>
      <c r="M6" s="37" t="n">
        <f aca="false">IF(AND(M$5&gt;=1,M$5&lt;=PPA_Term),1,0)</f>
        <v>1</v>
      </c>
      <c r="N6" s="37" t="n">
        <f aca="false">IF(AND(N$5&gt;=1,N$5&lt;=PPA_Term),1,0)</f>
        <v>1</v>
      </c>
      <c r="O6" s="37" t="n">
        <f aca="false">IF(AND(O$5&gt;=1,O$5&lt;=PPA_Term),1,0)</f>
        <v>1</v>
      </c>
      <c r="P6" s="37" t="n">
        <f aca="false">IF(AND(P$5&gt;=1,P$5&lt;=PPA_Term),1,0)</f>
        <v>1</v>
      </c>
      <c r="Q6" s="37" t="n">
        <f aca="false">IF(AND(Q$5&gt;=1,Q$5&lt;=PPA_Term),1,0)</f>
        <v>1</v>
      </c>
      <c r="R6" s="37" t="n">
        <f aca="false">IF(AND(R$5&gt;=1,R$5&lt;=PPA_Term),1,0)</f>
        <v>1</v>
      </c>
      <c r="S6" s="37" t="n">
        <f aca="false">IF(AND(S$5&gt;=1,S$5&lt;=PPA_Term),1,0)</f>
        <v>1</v>
      </c>
      <c r="T6" s="37" t="n">
        <f aca="false">IF(AND(T$5&gt;=1,T$5&lt;=PPA_Term),1,0)</f>
        <v>1</v>
      </c>
      <c r="U6" s="37" t="n">
        <f aca="false">IF(AND(U$5&gt;=1,U$5&lt;=PPA_Term),1,0)</f>
        <v>1</v>
      </c>
      <c r="V6" s="37" t="n">
        <f aca="false">IF(AND(V$5&gt;=1,V$5&lt;=PPA_Term),1,0)</f>
        <v>1</v>
      </c>
      <c r="W6" s="37" t="n">
        <f aca="false">IF(AND(W$5&gt;=1,W$5&lt;=PPA_Term),1,0)</f>
        <v>1</v>
      </c>
      <c r="X6" s="37" t="n">
        <f aca="false">IF(AND(X$5&gt;=1,X$5&lt;=PPA_Term),1,0)</f>
        <v>1</v>
      </c>
      <c r="Y6" s="37" t="n">
        <f aca="false">IF(AND(Y$5&gt;=1,Y$5&lt;=PPA_Term),1,0)</f>
        <v>1</v>
      </c>
      <c r="Z6" s="37" t="n">
        <f aca="false">IF(AND(Z$5&gt;=1,Z$5&lt;=PPA_Term),1,0)</f>
        <v>0</v>
      </c>
      <c r="AA6" s="37" t="n">
        <f aca="false">IF(AND(AA$5&gt;=1,AA$5&lt;=PPA_Term),1,0)</f>
        <v>0</v>
      </c>
      <c r="AB6" s="37" t="n">
        <f aca="false">IF(AND(AB$5&gt;=1,AB$5&lt;=PPA_Term),1,0)</f>
        <v>0</v>
      </c>
      <c r="AC6" s="37" t="n">
        <f aca="false">IF(AND(AC$5&gt;=1,AC$5&lt;=PPA_Term),1,0)</f>
        <v>0</v>
      </c>
      <c r="AD6" s="37" t="n">
        <f aca="false">IF(AND(AD$5&gt;=1,AD$5&lt;=PPA_Term),1,0)</f>
        <v>0</v>
      </c>
    </row>
    <row r="7" customFormat="false" ht="15" hidden="false" customHeight="false" outlineLevel="0" collapsed="false">
      <c r="B7" s="4" t="s">
        <v>148</v>
      </c>
      <c r="C7" s="24" t="s">
        <v>147</v>
      </c>
      <c r="E7" s="37" t="n">
        <f aca="false">IF(AND(E$5&gt;=1,E$5&lt;=Debt_Tenor),1,0)</f>
        <v>0</v>
      </c>
      <c r="F7" s="37" t="n">
        <f aca="false">IF(AND(F$5&gt;=1,F$5&lt;=Debt_Tenor),1,0)</f>
        <v>1</v>
      </c>
      <c r="G7" s="37" t="n">
        <f aca="false">IF(AND(G$5&gt;=1,G$5&lt;=Debt_Tenor),1,0)</f>
        <v>1</v>
      </c>
      <c r="H7" s="37" t="n">
        <f aca="false">IF(AND(H$5&gt;=1,H$5&lt;=Debt_Tenor),1,0)</f>
        <v>1</v>
      </c>
      <c r="I7" s="37" t="n">
        <f aca="false">IF(AND(I$5&gt;=1,I$5&lt;=Debt_Tenor),1,0)</f>
        <v>1</v>
      </c>
      <c r="J7" s="37" t="n">
        <f aca="false">IF(AND(J$5&gt;=1,J$5&lt;=Debt_Tenor),1,0)</f>
        <v>1</v>
      </c>
      <c r="K7" s="37" t="n">
        <f aca="false">IF(AND(K$5&gt;=1,K$5&lt;=Debt_Tenor),1,0)</f>
        <v>1</v>
      </c>
      <c r="L7" s="37" t="n">
        <f aca="false">IF(AND(L$5&gt;=1,L$5&lt;=Debt_Tenor),1,0)</f>
        <v>1</v>
      </c>
      <c r="M7" s="37" t="n">
        <f aca="false">IF(AND(M$5&gt;=1,M$5&lt;=Debt_Tenor),1,0)</f>
        <v>1</v>
      </c>
      <c r="N7" s="37" t="n">
        <f aca="false">IF(AND(N$5&gt;=1,N$5&lt;=Debt_Tenor),1,0)</f>
        <v>1</v>
      </c>
      <c r="O7" s="37" t="n">
        <f aca="false">IF(AND(O$5&gt;=1,O$5&lt;=Debt_Tenor),1,0)</f>
        <v>1</v>
      </c>
      <c r="P7" s="37" t="n">
        <f aca="false">IF(AND(P$5&gt;=1,P$5&lt;=Debt_Tenor),1,0)</f>
        <v>0</v>
      </c>
      <c r="Q7" s="37" t="n">
        <f aca="false">IF(AND(Q$5&gt;=1,Q$5&lt;=Debt_Tenor),1,0)</f>
        <v>0</v>
      </c>
      <c r="R7" s="37" t="n">
        <f aca="false">IF(AND(R$5&gt;=1,R$5&lt;=Debt_Tenor),1,0)</f>
        <v>0</v>
      </c>
      <c r="S7" s="37" t="n">
        <f aca="false">IF(AND(S$5&gt;=1,S$5&lt;=Debt_Tenor),1,0)</f>
        <v>0</v>
      </c>
      <c r="T7" s="37" t="n">
        <f aca="false">IF(AND(T$5&gt;=1,T$5&lt;=Debt_Tenor),1,0)</f>
        <v>0</v>
      </c>
      <c r="U7" s="37" t="n">
        <f aca="false">IF(AND(U$5&gt;=1,U$5&lt;=Debt_Tenor),1,0)</f>
        <v>0</v>
      </c>
      <c r="V7" s="37" t="n">
        <f aca="false">IF(AND(V$5&gt;=1,V$5&lt;=Debt_Tenor),1,0)</f>
        <v>0</v>
      </c>
      <c r="W7" s="37" t="n">
        <f aca="false">IF(AND(W$5&gt;=1,W$5&lt;=Debt_Tenor),1,0)</f>
        <v>0</v>
      </c>
      <c r="X7" s="37" t="n">
        <f aca="false">IF(AND(X$5&gt;=1,X$5&lt;=Debt_Tenor),1,0)</f>
        <v>0</v>
      </c>
      <c r="Y7" s="37" t="n">
        <f aca="false">IF(AND(Y$5&gt;=1,Y$5&lt;=Debt_Tenor),1,0)</f>
        <v>0</v>
      </c>
      <c r="Z7" s="37" t="n">
        <f aca="false">IF(AND(Z$5&gt;=1,Z$5&lt;=Debt_Tenor),1,0)</f>
        <v>0</v>
      </c>
      <c r="AA7" s="37" t="n">
        <f aca="false">IF(AND(AA$5&gt;=1,AA$5&lt;=Debt_Tenor),1,0)</f>
        <v>0</v>
      </c>
      <c r="AB7" s="37" t="n">
        <f aca="false">IF(AND(AB$5&gt;=1,AB$5&lt;=Debt_Tenor),1,0)</f>
        <v>0</v>
      </c>
      <c r="AC7" s="37" t="n">
        <f aca="false">IF(AND(AC$5&gt;=1,AC$5&lt;=Debt_Tenor),1,0)</f>
        <v>0</v>
      </c>
      <c r="AD7" s="37" t="n">
        <f aca="false">IF(AND(AD$5&gt;=1,AD$5&lt;=Debt_Tenor),1,0)</f>
        <v>0</v>
      </c>
    </row>
    <row r="9" customFormat="false" ht="15" hidden="false" customHeight="false" outlineLevel="0" collapsed="false">
      <c r="B9" s="21" t="s">
        <v>149</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row>
    <row r="10" customFormat="false" ht="15" hidden="false" customHeight="false" outlineLevel="0" collapsed="false">
      <c r="B10" s="4" t="s">
        <v>150</v>
      </c>
      <c r="C10" s="24" t="s">
        <v>130</v>
      </c>
      <c r="D10" s="38" t="n">
        <f aca="false">SUM(E10:AD10)</f>
        <v>31478541.5093762</v>
      </c>
      <c r="E10" s="39" t="n">
        <f aca="false">Size_kWp*Specific_Yield*(1-Degradation_Rate)^(E$5-1)*E$6</f>
        <v>0</v>
      </c>
      <c r="F10" s="39" t="n">
        <f aca="false">Size_kWp*Specific_Yield*(1-Degradation_Rate)^(F$5-1)*F$6</f>
        <v>1650000</v>
      </c>
      <c r="G10" s="39" t="n">
        <f aca="false">Size_kWp*Specific_Yield*(1-Degradation_Rate)^(G$5-1)*G$6</f>
        <v>1641750</v>
      </c>
      <c r="H10" s="39" t="n">
        <f aca="false">Size_kWp*Specific_Yield*(1-Degradation_Rate)^(H$5-1)*H$6</f>
        <v>1633541.25</v>
      </c>
      <c r="I10" s="39" t="n">
        <f aca="false">Size_kWp*Specific_Yield*(1-Degradation_Rate)^(I$5-1)*I$6</f>
        <v>1625373.54375</v>
      </c>
      <c r="J10" s="39" t="n">
        <f aca="false">Size_kWp*Specific_Yield*(1-Degradation_Rate)^(J$5-1)*J$6</f>
        <v>1617246.67603125</v>
      </c>
      <c r="K10" s="39" t="n">
        <f aca="false">Size_kWp*Specific_Yield*(1-Degradation_Rate)^(K$5-1)*K$6</f>
        <v>1609160.44265109</v>
      </c>
      <c r="L10" s="39" t="n">
        <f aca="false">Size_kWp*Specific_Yield*(1-Degradation_Rate)^(L$5-1)*L$6</f>
        <v>1601114.64043784</v>
      </c>
      <c r="M10" s="39" t="n">
        <f aca="false">Size_kWp*Specific_Yield*(1-Degradation_Rate)^(M$5-1)*M$6</f>
        <v>1593109.06723565</v>
      </c>
      <c r="N10" s="39" t="n">
        <f aca="false">Size_kWp*Specific_Yield*(1-Degradation_Rate)^(N$5-1)*N$6</f>
        <v>1585143.52189947</v>
      </c>
      <c r="O10" s="39" t="n">
        <f aca="false">Size_kWp*Specific_Yield*(1-Degradation_Rate)^(O$5-1)*O$6</f>
        <v>1577217.80428997</v>
      </c>
      <c r="P10" s="39" t="n">
        <f aca="false">Size_kWp*Specific_Yield*(1-Degradation_Rate)^(P$5-1)*P$6</f>
        <v>1569331.71526852</v>
      </c>
      <c r="Q10" s="39" t="n">
        <f aca="false">Size_kWp*Specific_Yield*(1-Degradation_Rate)^(Q$5-1)*Q$6</f>
        <v>1561485.05669218</v>
      </c>
      <c r="R10" s="39" t="n">
        <f aca="false">Size_kWp*Specific_Yield*(1-Degradation_Rate)^(R$5-1)*R$6</f>
        <v>1553677.63140872</v>
      </c>
      <c r="S10" s="39" t="n">
        <f aca="false">Size_kWp*Specific_Yield*(1-Degradation_Rate)^(S$5-1)*S$6</f>
        <v>1545909.24325168</v>
      </c>
      <c r="T10" s="39" t="n">
        <f aca="false">Size_kWp*Specific_Yield*(1-Degradation_Rate)^(T$5-1)*T$6</f>
        <v>1538179.69703542</v>
      </c>
      <c r="U10" s="39" t="n">
        <f aca="false">Size_kWp*Specific_Yield*(1-Degradation_Rate)^(U$5-1)*U$6</f>
        <v>1530488.79855024</v>
      </c>
      <c r="V10" s="39" t="n">
        <f aca="false">Size_kWp*Specific_Yield*(1-Degradation_Rate)^(V$5-1)*V$6</f>
        <v>1522836.35455749</v>
      </c>
      <c r="W10" s="39" t="n">
        <f aca="false">Size_kWp*Specific_Yield*(1-Degradation_Rate)^(W$5-1)*W$6</f>
        <v>1515222.1727847</v>
      </c>
      <c r="X10" s="39" t="n">
        <f aca="false">Size_kWp*Specific_Yield*(1-Degradation_Rate)^(X$5-1)*X$6</f>
        <v>1507646.06192078</v>
      </c>
      <c r="Y10" s="39" t="n">
        <f aca="false">Size_kWp*Specific_Yield*(1-Degradation_Rate)^(Y$5-1)*Y$6</f>
        <v>1500107.83161117</v>
      </c>
      <c r="Z10" s="39" t="n">
        <f aca="false">Size_kWp*Specific_Yield*(1-Degradation_Rate)^(Z$5-1)*Z$6</f>
        <v>0</v>
      </c>
      <c r="AA10" s="39" t="n">
        <f aca="false">Size_kWp*Specific_Yield*(1-Degradation_Rate)^(AA$5-1)*AA$6</f>
        <v>0</v>
      </c>
      <c r="AB10" s="39" t="n">
        <f aca="false">Size_kWp*Specific_Yield*(1-Degradation_Rate)^(AB$5-1)*AB$6</f>
        <v>0</v>
      </c>
      <c r="AC10" s="39" t="n">
        <f aca="false">Size_kWp*Specific_Yield*(1-Degradation_Rate)^(AC$5-1)*AC$6</f>
        <v>0</v>
      </c>
      <c r="AD10" s="39" t="n">
        <f aca="false">Size_kWp*Specific_Yield*(1-Degradation_Rate)^(AD$5-1)*AD$6</f>
        <v>0</v>
      </c>
    </row>
    <row r="11" customFormat="false" ht="15" hidden="false" customHeight="false" outlineLevel="0" collapsed="false">
      <c r="B11" s="4" t="s">
        <v>151</v>
      </c>
      <c r="C11" s="24" t="s">
        <v>79</v>
      </c>
      <c r="E11" s="40" t="n">
        <f aca="false">Tariff_Y1*(1+Tariff_Escalation)^(E$5-1)*E$6</f>
        <v>0</v>
      </c>
      <c r="F11" s="40" t="n">
        <f aca="false">Tariff_Y1*(1+Tariff_Escalation)^(F$5-1)*F$6</f>
        <v>1.15</v>
      </c>
      <c r="G11" s="40" t="n">
        <f aca="false">Tariff_Y1*(1+Tariff_Escalation)^(G$5-1)*G$6</f>
        <v>1.21325</v>
      </c>
      <c r="H11" s="40" t="n">
        <f aca="false">Tariff_Y1*(1+Tariff_Escalation)^(H$5-1)*H$6</f>
        <v>1.27997875</v>
      </c>
      <c r="I11" s="40" t="n">
        <f aca="false">Tariff_Y1*(1+Tariff_Escalation)^(I$5-1)*I$6</f>
        <v>1.35037758125</v>
      </c>
      <c r="J11" s="40" t="n">
        <f aca="false">Tariff_Y1*(1+Tariff_Escalation)^(J$5-1)*J$6</f>
        <v>1.42464834821875</v>
      </c>
      <c r="K11" s="40" t="n">
        <f aca="false">Tariff_Y1*(1+Tariff_Escalation)^(K$5-1)*K$6</f>
        <v>1.50300400737078</v>
      </c>
      <c r="L11" s="40" t="n">
        <f aca="false">Tariff_Y1*(1+Tariff_Escalation)^(L$5-1)*L$6</f>
        <v>1.58566922777617</v>
      </c>
      <c r="M11" s="40" t="n">
        <f aca="false">Tariff_Y1*(1+Tariff_Escalation)^(M$5-1)*M$6</f>
        <v>1.67288103530386</v>
      </c>
      <c r="N11" s="40" t="n">
        <f aca="false">Tariff_Y1*(1+Tariff_Escalation)^(N$5-1)*N$6</f>
        <v>1.76488949224558</v>
      </c>
      <c r="O11" s="40" t="n">
        <f aca="false">Tariff_Y1*(1+Tariff_Escalation)^(O$5-1)*O$6</f>
        <v>1.86195841431908</v>
      </c>
      <c r="P11" s="40" t="n">
        <f aca="false">Tariff_Y1*(1+Tariff_Escalation)^(P$5-1)*P$6</f>
        <v>1.96436612710663</v>
      </c>
      <c r="Q11" s="40" t="n">
        <f aca="false">Tariff_Y1*(1+Tariff_Escalation)^(Q$5-1)*Q$6</f>
        <v>2.0724062640975</v>
      </c>
      <c r="R11" s="40" t="n">
        <f aca="false">Tariff_Y1*(1+Tariff_Escalation)^(R$5-1)*R$6</f>
        <v>2.18638860862286</v>
      </c>
      <c r="S11" s="40" t="n">
        <f aca="false">Tariff_Y1*(1+Tariff_Escalation)^(S$5-1)*S$6</f>
        <v>2.30663998209712</v>
      </c>
      <c r="T11" s="40" t="n">
        <f aca="false">Tariff_Y1*(1+Tariff_Escalation)^(T$5-1)*T$6</f>
        <v>2.43350518111246</v>
      </c>
      <c r="U11" s="40" t="n">
        <f aca="false">Tariff_Y1*(1+Tariff_Escalation)^(U$5-1)*U$6</f>
        <v>2.56734796607364</v>
      </c>
      <c r="V11" s="40" t="n">
        <f aca="false">Tariff_Y1*(1+Tariff_Escalation)^(V$5-1)*V$6</f>
        <v>2.70855210420769</v>
      </c>
      <c r="W11" s="40" t="n">
        <f aca="false">Tariff_Y1*(1+Tariff_Escalation)^(W$5-1)*W$6</f>
        <v>2.85752246993911</v>
      </c>
      <c r="X11" s="40" t="n">
        <f aca="false">Tariff_Y1*(1+Tariff_Escalation)^(X$5-1)*X$6</f>
        <v>3.01468620578577</v>
      </c>
      <c r="Y11" s="40" t="n">
        <f aca="false">Tariff_Y1*(1+Tariff_Escalation)^(Y$5-1)*Y$6</f>
        <v>3.18049394710398</v>
      </c>
      <c r="Z11" s="40" t="n">
        <f aca="false">Tariff_Y1*(1+Tariff_Escalation)^(Z$5-1)*Z$6</f>
        <v>0</v>
      </c>
      <c r="AA11" s="40" t="n">
        <f aca="false">Tariff_Y1*(1+Tariff_Escalation)^(AA$5-1)*AA$6</f>
        <v>0</v>
      </c>
      <c r="AB11" s="40" t="n">
        <f aca="false">Tariff_Y1*(1+Tariff_Escalation)^(AB$5-1)*AB$6</f>
        <v>0</v>
      </c>
      <c r="AC11" s="40" t="n">
        <f aca="false">Tariff_Y1*(1+Tariff_Escalation)^(AC$5-1)*AC$6</f>
        <v>0</v>
      </c>
      <c r="AD11" s="40" t="n">
        <f aca="false">Tariff_Y1*(1+Tariff_Escalation)^(AD$5-1)*AD$6</f>
        <v>0</v>
      </c>
    </row>
    <row r="12" customFormat="false" ht="15" hidden="false" customHeight="false" outlineLevel="0" collapsed="false">
      <c r="B12" s="41" t="s">
        <v>152</v>
      </c>
      <c r="C12" s="42" t="s">
        <v>120</v>
      </c>
      <c r="D12" s="43" t="n">
        <f aca="false">SUM(E12:AD12)</f>
        <v>62560603.8069017</v>
      </c>
      <c r="E12" s="43" t="n">
        <f aca="false">E10*E11</f>
        <v>0</v>
      </c>
      <c r="F12" s="43" t="n">
        <f aca="false">F10*F11</f>
        <v>1897500</v>
      </c>
      <c r="G12" s="43" t="n">
        <f aca="false">G10*G11</f>
        <v>1991853.1875</v>
      </c>
      <c r="H12" s="43" t="n">
        <f aca="false">H10*H11</f>
        <v>2090898.08724844</v>
      </c>
      <c r="I12" s="43" t="n">
        <f aca="false">I10*I11</f>
        <v>2194867.99463687</v>
      </c>
      <c r="J12" s="43" t="n">
        <f aca="false">J10*J11</f>
        <v>2304007.80567018</v>
      </c>
      <c r="K12" s="43" t="n">
        <f aca="false">K10*K11</f>
        <v>2418574.59380713</v>
      </c>
      <c r="L12" s="43" t="n">
        <f aca="false">L10*L11</f>
        <v>2538838.21548419</v>
      </c>
      <c r="M12" s="43" t="n">
        <f aca="false">M10*M11</f>
        <v>2665081.94574914</v>
      </c>
      <c r="N12" s="43" t="n">
        <f aca="false">N10*N11</f>
        <v>2797603.14550152</v>
      </c>
      <c r="O12" s="43" t="n">
        <f aca="false">O10*O11</f>
        <v>2936713.96191158</v>
      </c>
      <c r="P12" s="43" t="n">
        <f aca="false">P10*P11</f>
        <v>3082742.06366764</v>
      </c>
      <c r="Q12" s="43" t="n">
        <f aca="false">Q10*Q11</f>
        <v>3236031.41278351</v>
      </c>
      <c r="R12" s="43" t="n">
        <f aca="false">R10*R11</f>
        <v>3396943.07478417</v>
      </c>
      <c r="S12" s="43" t="n">
        <f aca="false">S10*S11</f>
        <v>3565856.06917781</v>
      </c>
      <c r="T12" s="43" t="n">
        <f aca="false">T10*T11</f>
        <v>3743168.26221768</v>
      </c>
      <c r="U12" s="43" t="n">
        <f aca="false">U10*U11</f>
        <v>3929297.30405645</v>
      </c>
      <c r="V12" s="43" t="n">
        <f aca="false">V10*V11</f>
        <v>4124681.61250066</v>
      </c>
      <c r="W12" s="43" t="n">
        <f aca="false">W10*W11</f>
        <v>4329781.40568225</v>
      </c>
      <c r="X12" s="43" t="n">
        <f aca="false">X10*X11</f>
        <v>4545079.7860798</v>
      </c>
      <c r="Y12" s="43" t="n">
        <f aca="false">Y10*Y11</f>
        <v>4771083.87844262</v>
      </c>
      <c r="Z12" s="43" t="n">
        <f aca="false">Z10*Z11</f>
        <v>0</v>
      </c>
      <c r="AA12" s="43" t="n">
        <f aca="false">AA10*AA11</f>
        <v>0</v>
      </c>
      <c r="AB12" s="43" t="n">
        <f aca="false">AB10*AB11</f>
        <v>0</v>
      </c>
      <c r="AC12" s="43" t="n">
        <f aca="false">AC10*AC11</f>
        <v>0</v>
      </c>
      <c r="AD12" s="43" t="n">
        <f aca="false">AD10*AD11</f>
        <v>0</v>
      </c>
    </row>
    <row r="14" customFormat="false" ht="15" hidden="false" customHeight="false" outlineLevel="0" collapsed="false">
      <c r="B14" s="21" t="s">
        <v>153</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row>
    <row r="15" customFormat="false" ht="15" hidden="false" customHeight="false" outlineLevel="0" collapsed="false">
      <c r="B15" s="4" t="s">
        <v>154</v>
      </c>
      <c r="C15" s="24" t="s">
        <v>120</v>
      </c>
      <c r="D15" s="44" t="n">
        <f aca="false">SUM(E15:AD15)</f>
        <v>5951871.73851992</v>
      </c>
      <c r="E15" s="45" t="n">
        <f aca="false">Opex_per_kWp*Size_kWp*(1+Opex_Escalation)^(E$5-1)*E$6</f>
        <v>0</v>
      </c>
      <c r="F15" s="45" t="n">
        <f aca="false">Opex_per_kWp*Size_kWp*(1+Opex_Escalation)^(F$5-1)*F$6</f>
        <v>180000</v>
      </c>
      <c r="G15" s="45" t="n">
        <f aca="false">Opex_per_kWp*Size_kWp*(1+Opex_Escalation)^(G$5-1)*G$6</f>
        <v>189000</v>
      </c>
      <c r="H15" s="45" t="n">
        <f aca="false">Opex_per_kWp*Size_kWp*(1+Opex_Escalation)^(H$5-1)*H$6</f>
        <v>198450</v>
      </c>
      <c r="I15" s="45" t="n">
        <f aca="false">Opex_per_kWp*Size_kWp*(1+Opex_Escalation)^(I$5-1)*I$6</f>
        <v>208372.5</v>
      </c>
      <c r="J15" s="45" t="n">
        <f aca="false">Opex_per_kWp*Size_kWp*(1+Opex_Escalation)^(J$5-1)*J$6</f>
        <v>218791.125</v>
      </c>
      <c r="K15" s="45" t="n">
        <f aca="false">Opex_per_kWp*Size_kWp*(1+Opex_Escalation)^(K$5-1)*K$6</f>
        <v>229730.68125</v>
      </c>
      <c r="L15" s="45" t="n">
        <f aca="false">Opex_per_kWp*Size_kWp*(1+Opex_Escalation)^(L$5-1)*L$6</f>
        <v>241217.2153125</v>
      </c>
      <c r="M15" s="45" t="n">
        <f aca="false">Opex_per_kWp*Size_kWp*(1+Opex_Escalation)^(M$5-1)*M$6</f>
        <v>253278.076078125</v>
      </c>
      <c r="N15" s="45" t="n">
        <f aca="false">Opex_per_kWp*Size_kWp*(1+Opex_Escalation)^(N$5-1)*N$6</f>
        <v>265941.979882031</v>
      </c>
      <c r="O15" s="45" t="n">
        <f aca="false">Opex_per_kWp*Size_kWp*(1+Opex_Escalation)^(O$5-1)*O$6</f>
        <v>279239.078876133</v>
      </c>
      <c r="P15" s="45" t="n">
        <f aca="false">Opex_per_kWp*Size_kWp*(1+Opex_Escalation)^(P$5-1)*P$6</f>
        <v>293201.03281994</v>
      </c>
      <c r="Q15" s="45" t="n">
        <f aca="false">Opex_per_kWp*Size_kWp*(1+Opex_Escalation)^(Q$5-1)*Q$6</f>
        <v>307861.084460937</v>
      </c>
      <c r="R15" s="45" t="n">
        <f aca="false">Opex_per_kWp*Size_kWp*(1+Opex_Escalation)^(R$5-1)*R$6</f>
        <v>323254.138683983</v>
      </c>
      <c r="S15" s="45" t="n">
        <f aca="false">Opex_per_kWp*Size_kWp*(1+Opex_Escalation)^(S$5-1)*S$6</f>
        <v>339416.845618183</v>
      </c>
      <c r="T15" s="45" t="n">
        <f aca="false">Opex_per_kWp*Size_kWp*(1+Opex_Escalation)^(T$5-1)*T$6</f>
        <v>356387.687899092</v>
      </c>
      <c r="U15" s="45" t="n">
        <f aca="false">Opex_per_kWp*Size_kWp*(1+Opex_Escalation)^(U$5-1)*U$6</f>
        <v>374207.072294046</v>
      </c>
      <c r="V15" s="45" t="n">
        <f aca="false">Opex_per_kWp*Size_kWp*(1+Opex_Escalation)^(V$5-1)*V$6</f>
        <v>392917.425908749</v>
      </c>
      <c r="W15" s="45" t="n">
        <f aca="false">Opex_per_kWp*Size_kWp*(1+Opex_Escalation)^(W$5-1)*W$6</f>
        <v>412563.297204186</v>
      </c>
      <c r="X15" s="45" t="n">
        <f aca="false">Opex_per_kWp*Size_kWp*(1+Opex_Escalation)^(X$5-1)*X$6</f>
        <v>433191.462064395</v>
      </c>
      <c r="Y15" s="45" t="n">
        <f aca="false">Opex_per_kWp*Size_kWp*(1+Opex_Escalation)^(Y$5-1)*Y$6</f>
        <v>454851.035167615</v>
      </c>
      <c r="Z15" s="45" t="n">
        <f aca="false">Opex_per_kWp*Size_kWp*(1+Opex_Escalation)^(Z$5-1)*Z$6</f>
        <v>0</v>
      </c>
      <c r="AA15" s="45" t="n">
        <f aca="false">Opex_per_kWp*Size_kWp*(1+Opex_Escalation)^(AA$5-1)*AA$6</f>
        <v>0</v>
      </c>
      <c r="AB15" s="45" t="n">
        <f aca="false">Opex_per_kWp*Size_kWp*(1+Opex_Escalation)^(AB$5-1)*AB$6</f>
        <v>0</v>
      </c>
      <c r="AC15" s="45" t="n">
        <f aca="false">Opex_per_kWp*Size_kWp*(1+Opex_Escalation)^(AC$5-1)*AC$6</f>
        <v>0</v>
      </c>
      <c r="AD15" s="45" t="n">
        <f aca="false">Opex_per_kWp*Size_kWp*(1+Opex_Escalation)^(AD$5-1)*AD$6</f>
        <v>0</v>
      </c>
    </row>
    <row r="16" customFormat="false" ht="15" hidden="false" customHeight="false" outlineLevel="0" collapsed="false">
      <c r="B16" s="41" t="s">
        <v>155</v>
      </c>
      <c r="C16" s="42" t="s">
        <v>120</v>
      </c>
      <c r="D16" s="43" t="n">
        <f aca="false">SUM(E16:AD16)</f>
        <v>56608732.0683817</v>
      </c>
      <c r="E16" s="43" t="n">
        <f aca="false">E12-E15</f>
        <v>0</v>
      </c>
      <c r="F16" s="43" t="n">
        <f aca="false">F12-F15</f>
        <v>1717500</v>
      </c>
      <c r="G16" s="43" t="n">
        <f aca="false">G12-G15</f>
        <v>1802853.1875</v>
      </c>
      <c r="H16" s="43" t="n">
        <f aca="false">H12-H15</f>
        <v>1892448.08724844</v>
      </c>
      <c r="I16" s="43" t="n">
        <f aca="false">I12-I15</f>
        <v>1986495.49463687</v>
      </c>
      <c r="J16" s="43" t="n">
        <f aca="false">J12-J15</f>
        <v>2085216.68067018</v>
      </c>
      <c r="K16" s="43" t="n">
        <f aca="false">K12-K15</f>
        <v>2188843.91255713</v>
      </c>
      <c r="L16" s="43" t="n">
        <f aca="false">L12-L15</f>
        <v>2297621.00017169</v>
      </c>
      <c r="M16" s="43" t="n">
        <f aca="false">M12-M15</f>
        <v>2411803.86967102</v>
      </c>
      <c r="N16" s="43" t="n">
        <f aca="false">N12-N15</f>
        <v>2531661.16561949</v>
      </c>
      <c r="O16" s="43" t="n">
        <f aca="false">O12-O15</f>
        <v>2657474.88303545</v>
      </c>
      <c r="P16" s="43" t="n">
        <f aca="false">P12-P15</f>
        <v>2789541.0308477</v>
      </c>
      <c r="Q16" s="43" t="n">
        <f aca="false">Q12-Q15</f>
        <v>2928170.32832257</v>
      </c>
      <c r="R16" s="43" t="n">
        <f aca="false">R12-R15</f>
        <v>3073688.93610019</v>
      </c>
      <c r="S16" s="43" t="n">
        <f aca="false">S12-S15</f>
        <v>3226439.22355963</v>
      </c>
      <c r="T16" s="43" t="n">
        <f aca="false">T12-T15</f>
        <v>3386780.57431859</v>
      </c>
      <c r="U16" s="43" t="n">
        <f aca="false">U12-U15</f>
        <v>3555090.23176241</v>
      </c>
      <c r="V16" s="43" t="n">
        <f aca="false">V12-V15</f>
        <v>3731764.18659191</v>
      </c>
      <c r="W16" s="43" t="n">
        <f aca="false">W12-W15</f>
        <v>3917218.10847807</v>
      </c>
      <c r="X16" s="43" t="n">
        <f aca="false">X12-X15</f>
        <v>4111888.32401541</v>
      </c>
      <c r="Y16" s="43" t="n">
        <f aca="false">Y12-Y15</f>
        <v>4316232.84327501</v>
      </c>
      <c r="Z16" s="43" t="n">
        <f aca="false">Z12-Z15</f>
        <v>0</v>
      </c>
      <c r="AA16" s="43" t="n">
        <f aca="false">AA12-AA15</f>
        <v>0</v>
      </c>
      <c r="AB16" s="43" t="n">
        <f aca="false">AB12-AB15</f>
        <v>0</v>
      </c>
      <c r="AC16" s="43" t="n">
        <f aca="false">AC12-AC15</f>
        <v>0</v>
      </c>
      <c r="AD16" s="43" t="n">
        <f aca="false">AD12-AD15</f>
        <v>0</v>
      </c>
    </row>
    <row r="18" customFormat="false" ht="15" hidden="false" customHeight="false" outlineLevel="0" collapsed="false">
      <c r="B18" s="21" t="s">
        <v>156</v>
      </c>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row>
    <row r="19" customFormat="false" ht="15" hidden="false" customHeight="false" outlineLevel="0" collapsed="false">
      <c r="B19" s="4" t="s">
        <v>157</v>
      </c>
      <c r="C19" s="24" t="s">
        <v>120</v>
      </c>
      <c r="D19" s="44" t="n">
        <f aca="false">SUM(E19:AD19)</f>
        <v>12000000</v>
      </c>
      <c r="E19" s="45" t="n">
        <f aca="false">IF(E$5=0,Capex_Total,0)</f>
        <v>12000000</v>
      </c>
      <c r="F19" s="45" t="n">
        <f aca="false">IF(F$5=0,Capex_Total,0)</f>
        <v>0</v>
      </c>
      <c r="G19" s="45" t="n">
        <f aca="false">IF(G$5=0,Capex_Total,0)</f>
        <v>0</v>
      </c>
      <c r="H19" s="45" t="n">
        <f aca="false">IF(H$5=0,Capex_Total,0)</f>
        <v>0</v>
      </c>
      <c r="I19" s="45" t="n">
        <f aca="false">IF(I$5=0,Capex_Total,0)</f>
        <v>0</v>
      </c>
      <c r="J19" s="45" t="n">
        <f aca="false">IF(J$5=0,Capex_Total,0)</f>
        <v>0</v>
      </c>
      <c r="K19" s="45" t="n">
        <f aca="false">IF(K$5=0,Capex_Total,0)</f>
        <v>0</v>
      </c>
      <c r="L19" s="45" t="n">
        <f aca="false">IF(L$5=0,Capex_Total,0)</f>
        <v>0</v>
      </c>
      <c r="M19" s="45" t="n">
        <f aca="false">IF(M$5=0,Capex_Total,0)</f>
        <v>0</v>
      </c>
      <c r="N19" s="45" t="n">
        <f aca="false">IF(N$5=0,Capex_Total,0)</f>
        <v>0</v>
      </c>
      <c r="O19" s="45" t="n">
        <f aca="false">IF(O$5=0,Capex_Total,0)</f>
        <v>0</v>
      </c>
      <c r="P19" s="45" t="n">
        <f aca="false">IF(P$5=0,Capex_Total,0)</f>
        <v>0</v>
      </c>
      <c r="Q19" s="45" t="n">
        <f aca="false">IF(Q$5=0,Capex_Total,0)</f>
        <v>0</v>
      </c>
      <c r="R19" s="45" t="n">
        <f aca="false">IF(R$5=0,Capex_Total,0)</f>
        <v>0</v>
      </c>
      <c r="S19" s="45" t="n">
        <f aca="false">IF(S$5=0,Capex_Total,0)</f>
        <v>0</v>
      </c>
      <c r="T19" s="45" t="n">
        <f aca="false">IF(T$5=0,Capex_Total,0)</f>
        <v>0</v>
      </c>
      <c r="U19" s="45" t="n">
        <f aca="false">IF(U$5=0,Capex_Total,0)</f>
        <v>0</v>
      </c>
      <c r="V19" s="45" t="n">
        <f aca="false">IF(V$5=0,Capex_Total,0)</f>
        <v>0</v>
      </c>
      <c r="W19" s="45" t="n">
        <f aca="false">IF(W$5=0,Capex_Total,0)</f>
        <v>0</v>
      </c>
      <c r="X19" s="45" t="n">
        <f aca="false">IF(X$5=0,Capex_Total,0)</f>
        <v>0</v>
      </c>
      <c r="Y19" s="45" t="n">
        <f aca="false">IF(Y$5=0,Capex_Total,0)</f>
        <v>0</v>
      </c>
      <c r="Z19" s="45" t="n">
        <f aca="false">IF(Z$5=0,Capex_Total,0)</f>
        <v>0</v>
      </c>
      <c r="AA19" s="45" t="n">
        <f aca="false">IF(AA$5=0,Capex_Total,0)</f>
        <v>0</v>
      </c>
      <c r="AB19" s="45" t="n">
        <f aca="false">IF(AB$5=0,Capex_Total,0)</f>
        <v>0</v>
      </c>
      <c r="AC19" s="45" t="n">
        <f aca="false">IF(AC$5=0,Capex_Total,0)</f>
        <v>0</v>
      </c>
      <c r="AD19" s="45" t="n">
        <f aca="false">IF(AD$5=0,Capex_Total,0)</f>
        <v>0</v>
      </c>
    </row>
    <row r="20" customFormat="false" ht="15" hidden="false" customHeight="false" outlineLevel="0" collapsed="false">
      <c r="B20" s="4" t="s">
        <v>158</v>
      </c>
      <c r="C20" s="24" t="s">
        <v>120</v>
      </c>
      <c r="D20" s="44" t="n">
        <f aca="false">SUM(E20:AD20)</f>
        <v>12000000</v>
      </c>
      <c r="E20" s="45" t="n">
        <f aca="false">Capex_Total*IF(E$5=1,Tax_Dep_Y1,IF(E$5=2,Tax_Dep_Y2,IF(E$5=3,Tax_Dep_Y3,0)))*E$6</f>
        <v>0</v>
      </c>
      <c r="F20" s="45" t="n">
        <f aca="false">Capex_Total*IF(F$5=1,Tax_Dep_Y1,IF(F$5=2,Tax_Dep_Y2,IF(F$5=3,Tax_Dep_Y3,0)))*F$6</f>
        <v>12000000</v>
      </c>
      <c r="G20" s="45" t="n">
        <f aca="false">Capex_Total*IF(G$5=1,Tax_Dep_Y1,IF(G$5=2,Tax_Dep_Y2,IF(G$5=3,Tax_Dep_Y3,0)))*G$6</f>
        <v>0</v>
      </c>
      <c r="H20" s="45" t="n">
        <f aca="false">Capex_Total*IF(H$5=1,Tax_Dep_Y1,IF(H$5=2,Tax_Dep_Y2,IF(H$5=3,Tax_Dep_Y3,0)))*H$6</f>
        <v>0</v>
      </c>
      <c r="I20" s="45" t="n">
        <f aca="false">Capex_Total*IF(I$5=1,Tax_Dep_Y1,IF(I$5=2,Tax_Dep_Y2,IF(I$5=3,Tax_Dep_Y3,0)))*I$6</f>
        <v>0</v>
      </c>
      <c r="J20" s="45" t="n">
        <f aca="false">Capex_Total*IF(J$5=1,Tax_Dep_Y1,IF(J$5=2,Tax_Dep_Y2,IF(J$5=3,Tax_Dep_Y3,0)))*J$6</f>
        <v>0</v>
      </c>
      <c r="K20" s="45" t="n">
        <f aca="false">Capex_Total*IF(K$5=1,Tax_Dep_Y1,IF(K$5=2,Tax_Dep_Y2,IF(K$5=3,Tax_Dep_Y3,0)))*K$6</f>
        <v>0</v>
      </c>
      <c r="L20" s="45" t="n">
        <f aca="false">Capex_Total*IF(L$5=1,Tax_Dep_Y1,IF(L$5=2,Tax_Dep_Y2,IF(L$5=3,Tax_Dep_Y3,0)))*L$6</f>
        <v>0</v>
      </c>
      <c r="M20" s="45" t="n">
        <f aca="false">Capex_Total*IF(M$5=1,Tax_Dep_Y1,IF(M$5=2,Tax_Dep_Y2,IF(M$5=3,Tax_Dep_Y3,0)))*M$6</f>
        <v>0</v>
      </c>
      <c r="N20" s="45" t="n">
        <f aca="false">Capex_Total*IF(N$5=1,Tax_Dep_Y1,IF(N$5=2,Tax_Dep_Y2,IF(N$5=3,Tax_Dep_Y3,0)))*N$6</f>
        <v>0</v>
      </c>
      <c r="O20" s="45" t="n">
        <f aca="false">Capex_Total*IF(O$5=1,Tax_Dep_Y1,IF(O$5=2,Tax_Dep_Y2,IF(O$5=3,Tax_Dep_Y3,0)))*O$6</f>
        <v>0</v>
      </c>
      <c r="P20" s="45" t="n">
        <f aca="false">Capex_Total*IF(P$5=1,Tax_Dep_Y1,IF(P$5=2,Tax_Dep_Y2,IF(P$5=3,Tax_Dep_Y3,0)))*P$6</f>
        <v>0</v>
      </c>
      <c r="Q20" s="45" t="n">
        <f aca="false">Capex_Total*IF(Q$5=1,Tax_Dep_Y1,IF(Q$5=2,Tax_Dep_Y2,IF(Q$5=3,Tax_Dep_Y3,0)))*Q$6</f>
        <v>0</v>
      </c>
      <c r="R20" s="45" t="n">
        <f aca="false">Capex_Total*IF(R$5=1,Tax_Dep_Y1,IF(R$5=2,Tax_Dep_Y2,IF(R$5=3,Tax_Dep_Y3,0)))*R$6</f>
        <v>0</v>
      </c>
      <c r="S20" s="45" t="n">
        <f aca="false">Capex_Total*IF(S$5=1,Tax_Dep_Y1,IF(S$5=2,Tax_Dep_Y2,IF(S$5=3,Tax_Dep_Y3,0)))*S$6</f>
        <v>0</v>
      </c>
      <c r="T20" s="45" t="n">
        <f aca="false">Capex_Total*IF(T$5=1,Tax_Dep_Y1,IF(T$5=2,Tax_Dep_Y2,IF(T$5=3,Tax_Dep_Y3,0)))*T$6</f>
        <v>0</v>
      </c>
      <c r="U20" s="45" t="n">
        <f aca="false">Capex_Total*IF(U$5=1,Tax_Dep_Y1,IF(U$5=2,Tax_Dep_Y2,IF(U$5=3,Tax_Dep_Y3,0)))*U$6</f>
        <v>0</v>
      </c>
      <c r="V20" s="45" t="n">
        <f aca="false">Capex_Total*IF(V$5=1,Tax_Dep_Y1,IF(V$5=2,Tax_Dep_Y2,IF(V$5=3,Tax_Dep_Y3,0)))*V$6</f>
        <v>0</v>
      </c>
      <c r="W20" s="45" t="n">
        <f aca="false">Capex_Total*IF(W$5=1,Tax_Dep_Y1,IF(W$5=2,Tax_Dep_Y2,IF(W$5=3,Tax_Dep_Y3,0)))*W$6</f>
        <v>0</v>
      </c>
      <c r="X20" s="45" t="n">
        <f aca="false">Capex_Total*IF(X$5=1,Tax_Dep_Y1,IF(X$5=2,Tax_Dep_Y2,IF(X$5=3,Tax_Dep_Y3,0)))*X$6</f>
        <v>0</v>
      </c>
      <c r="Y20" s="45" t="n">
        <f aca="false">Capex_Total*IF(Y$5=1,Tax_Dep_Y1,IF(Y$5=2,Tax_Dep_Y2,IF(Y$5=3,Tax_Dep_Y3,0)))*Y$6</f>
        <v>0</v>
      </c>
      <c r="Z20" s="45" t="n">
        <f aca="false">Capex_Total*IF(Z$5=1,Tax_Dep_Y1,IF(Z$5=2,Tax_Dep_Y2,IF(Z$5=3,Tax_Dep_Y3,0)))*Z$6</f>
        <v>0</v>
      </c>
      <c r="AA20" s="45" t="n">
        <f aca="false">Capex_Total*IF(AA$5=1,Tax_Dep_Y1,IF(AA$5=2,Tax_Dep_Y2,IF(AA$5=3,Tax_Dep_Y3,0)))*AA$6</f>
        <v>0</v>
      </c>
      <c r="AB20" s="45" t="n">
        <f aca="false">Capex_Total*IF(AB$5=1,Tax_Dep_Y1,IF(AB$5=2,Tax_Dep_Y2,IF(AB$5=3,Tax_Dep_Y3,0)))*AB$6</f>
        <v>0</v>
      </c>
      <c r="AC20" s="45" t="n">
        <f aca="false">Capex_Total*IF(AC$5=1,Tax_Dep_Y1,IF(AC$5=2,Tax_Dep_Y2,IF(AC$5=3,Tax_Dep_Y3,0)))*AC$6</f>
        <v>0</v>
      </c>
      <c r="AD20" s="45" t="n">
        <f aca="false">Capex_Total*IF(AD$5=1,Tax_Dep_Y1,IF(AD$5=2,Tax_Dep_Y2,IF(AD$5=3,Tax_Dep_Y3,0)))*AD$6</f>
        <v>0</v>
      </c>
    </row>
    <row r="22" customFormat="false" ht="15" hidden="false" customHeight="false" outlineLevel="0" collapsed="false">
      <c r="B22" s="21" t="s">
        <v>159</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row>
    <row r="23" customFormat="false" ht="15" hidden="false" customHeight="false" outlineLevel="0" collapsed="false">
      <c r="B23" s="4" t="s">
        <v>160</v>
      </c>
      <c r="C23" s="24" t="s">
        <v>120</v>
      </c>
      <c r="F23" s="45" t="n">
        <f aca="false">E28</f>
        <v>7800000</v>
      </c>
      <c r="G23" s="45" t="n">
        <f aca="false">F28</f>
        <v>7344657.76033599</v>
      </c>
      <c r="H23" s="45" t="n">
        <f aca="false">G28</f>
        <v>6836951.16311062</v>
      </c>
      <c r="I23" s="45" t="n">
        <f aca="false">H28</f>
        <v>6270858.30720433</v>
      </c>
      <c r="J23" s="45" t="n">
        <f aca="false">I28</f>
        <v>5639664.77286882</v>
      </c>
      <c r="K23" s="45" t="n">
        <f aca="false">J28</f>
        <v>4935883.98208473</v>
      </c>
      <c r="L23" s="45" t="n">
        <f aca="false">K28</f>
        <v>4151168.40036046</v>
      </c>
      <c r="M23" s="45" t="n">
        <f aca="false">L28</f>
        <v>3276210.52673791</v>
      </c>
      <c r="N23" s="45" t="n">
        <f aca="false">M28</f>
        <v>2300632.49764876</v>
      </c>
      <c r="O23" s="45" t="n">
        <f aca="false">N28</f>
        <v>1212862.99521436</v>
      </c>
      <c r="P23" s="45" t="n">
        <f aca="false">O28</f>
        <v>0</v>
      </c>
      <c r="Q23" s="45" t="n">
        <f aca="false">P28</f>
        <v>0</v>
      </c>
      <c r="R23" s="45" t="n">
        <f aca="false">Q28</f>
        <v>0</v>
      </c>
      <c r="S23" s="45" t="n">
        <f aca="false">R28</f>
        <v>0</v>
      </c>
      <c r="T23" s="45" t="n">
        <f aca="false">S28</f>
        <v>0</v>
      </c>
      <c r="U23" s="45" t="n">
        <f aca="false">T28</f>
        <v>0</v>
      </c>
      <c r="V23" s="45" t="n">
        <f aca="false">U28</f>
        <v>0</v>
      </c>
      <c r="W23" s="45" t="n">
        <f aca="false">V28</f>
        <v>0</v>
      </c>
      <c r="X23" s="45" t="n">
        <f aca="false">W28</f>
        <v>0</v>
      </c>
      <c r="Y23" s="45" t="n">
        <f aca="false">X28</f>
        <v>0</v>
      </c>
      <c r="Z23" s="45" t="n">
        <f aca="false">Y28</f>
        <v>0</v>
      </c>
      <c r="AA23" s="45" t="n">
        <f aca="false">Z28</f>
        <v>0</v>
      </c>
      <c r="AB23" s="45" t="n">
        <f aca="false">AA28</f>
        <v>0</v>
      </c>
      <c r="AC23" s="45" t="n">
        <f aca="false">AB28</f>
        <v>0</v>
      </c>
      <c r="AD23" s="45" t="n">
        <f aca="false">AC28</f>
        <v>0</v>
      </c>
    </row>
    <row r="24" customFormat="false" ht="15" hidden="false" customHeight="false" outlineLevel="0" collapsed="false">
      <c r="B24" s="4" t="s">
        <v>161</v>
      </c>
      <c r="C24" s="24" t="s">
        <v>120</v>
      </c>
      <c r="D24" s="44" t="n">
        <f aca="false">SUM(E24:AD24)</f>
        <v>7800000</v>
      </c>
      <c r="E24" s="45" t="n">
        <f aca="false">IF(E$5=0,Debt_Amount,0)</f>
        <v>7800000</v>
      </c>
      <c r="F24" s="45" t="n">
        <f aca="false">IF(F$5=0,Debt_Amount,0)</f>
        <v>0</v>
      </c>
      <c r="G24" s="45" t="n">
        <f aca="false">IF(G$5=0,Debt_Amount,0)</f>
        <v>0</v>
      </c>
      <c r="H24" s="45" t="n">
        <f aca="false">IF(H$5=0,Debt_Amount,0)</f>
        <v>0</v>
      </c>
      <c r="I24" s="45" t="n">
        <f aca="false">IF(I$5=0,Debt_Amount,0)</f>
        <v>0</v>
      </c>
      <c r="J24" s="45" t="n">
        <f aca="false">IF(J$5=0,Debt_Amount,0)</f>
        <v>0</v>
      </c>
      <c r="K24" s="45" t="n">
        <f aca="false">IF(K$5=0,Debt_Amount,0)</f>
        <v>0</v>
      </c>
      <c r="L24" s="45" t="n">
        <f aca="false">IF(L$5=0,Debt_Amount,0)</f>
        <v>0</v>
      </c>
      <c r="M24" s="45" t="n">
        <f aca="false">IF(M$5=0,Debt_Amount,0)</f>
        <v>0</v>
      </c>
      <c r="N24" s="45" t="n">
        <f aca="false">IF(N$5=0,Debt_Amount,0)</f>
        <v>0</v>
      </c>
      <c r="O24" s="45" t="n">
        <f aca="false">IF(O$5=0,Debt_Amount,0)</f>
        <v>0</v>
      </c>
      <c r="P24" s="45" t="n">
        <f aca="false">IF(P$5=0,Debt_Amount,0)</f>
        <v>0</v>
      </c>
      <c r="Q24" s="45" t="n">
        <f aca="false">IF(Q$5=0,Debt_Amount,0)</f>
        <v>0</v>
      </c>
      <c r="R24" s="45" t="n">
        <f aca="false">IF(R$5=0,Debt_Amount,0)</f>
        <v>0</v>
      </c>
      <c r="S24" s="45" t="n">
        <f aca="false">IF(S$5=0,Debt_Amount,0)</f>
        <v>0</v>
      </c>
      <c r="T24" s="45" t="n">
        <f aca="false">IF(T$5=0,Debt_Amount,0)</f>
        <v>0</v>
      </c>
      <c r="U24" s="45" t="n">
        <f aca="false">IF(U$5=0,Debt_Amount,0)</f>
        <v>0</v>
      </c>
      <c r="V24" s="45" t="n">
        <f aca="false">IF(V$5=0,Debt_Amount,0)</f>
        <v>0</v>
      </c>
      <c r="W24" s="45" t="n">
        <f aca="false">IF(W$5=0,Debt_Amount,0)</f>
        <v>0</v>
      </c>
      <c r="X24" s="45" t="n">
        <f aca="false">IF(X$5=0,Debt_Amount,0)</f>
        <v>0</v>
      </c>
      <c r="Y24" s="45" t="n">
        <f aca="false">IF(Y$5=0,Debt_Amount,0)</f>
        <v>0</v>
      </c>
      <c r="Z24" s="45" t="n">
        <f aca="false">IF(Z$5=0,Debt_Amount,0)</f>
        <v>0</v>
      </c>
      <c r="AA24" s="45" t="n">
        <f aca="false">IF(AA$5=0,Debt_Amount,0)</f>
        <v>0</v>
      </c>
      <c r="AB24" s="45" t="n">
        <f aca="false">IF(AB$5=0,Debt_Amount,0)</f>
        <v>0</v>
      </c>
      <c r="AC24" s="45" t="n">
        <f aca="false">IF(AC$5=0,Debt_Amount,0)</f>
        <v>0</v>
      </c>
      <c r="AD24" s="45" t="n">
        <f aca="false">IF(AD$5=0,Debt_Amount,0)</f>
        <v>0</v>
      </c>
    </row>
    <row r="25" customFormat="false" ht="15" hidden="false" customHeight="false" outlineLevel="0" collapsed="false">
      <c r="B25" s="4" t="s">
        <v>162</v>
      </c>
      <c r="C25" s="24" t="s">
        <v>120</v>
      </c>
      <c r="D25" s="44" t="n">
        <f aca="false">SUM(E25:AD25)</f>
        <v>13523422.3966401</v>
      </c>
      <c r="E25" s="45" t="n">
        <f aca="false">Debt_Service_Annual*E$7</f>
        <v>0</v>
      </c>
      <c r="F25" s="45" t="n">
        <f aca="false">Debt_Service_Annual*F$7</f>
        <v>1352342.23966401</v>
      </c>
      <c r="G25" s="45" t="n">
        <f aca="false">Debt_Service_Annual*G$7</f>
        <v>1352342.23966401</v>
      </c>
      <c r="H25" s="45" t="n">
        <f aca="false">Debt_Service_Annual*H$7</f>
        <v>1352342.23966401</v>
      </c>
      <c r="I25" s="45" t="n">
        <f aca="false">Debt_Service_Annual*I$7</f>
        <v>1352342.23966401</v>
      </c>
      <c r="J25" s="45" t="n">
        <f aca="false">Debt_Service_Annual*J$7</f>
        <v>1352342.23966401</v>
      </c>
      <c r="K25" s="45" t="n">
        <f aca="false">Debt_Service_Annual*K$7</f>
        <v>1352342.23966401</v>
      </c>
      <c r="L25" s="45" t="n">
        <f aca="false">Debt_Service_Annual*L$7</f>
        <v>1352342.23966401</v>
      </c>
      <c r="M25" s="45" t="n">
        <f aca="false">Debt_Service_Annual*M$7</f>
        <v>1352342.23966401</v>
      </c>
      <c r="N25" s="45" t="n">
        <f aca="false">Debt_Service_Annual*N$7</f>
        <v>1352342.23966401</v>
      </c>
      <c r="O25" s="45" t="n">
        <f aca="false">Debt_Service_Annual*O$7</f>
        <v>1352342.23966401</v>
      </c>
      <c r="P25" s="45" t="n">
        <f aca="false">Debt_Service_Annual*P$7</f>
        <v>0</v>
      </c>
      <c r="Q25" s="45" t="n">
        <f aca="false">Debt_Service_Annual*Q$7</f>
        <v>0</v>
      </c>
      <c r="R25" s="45" t="n">
        <f aca="false">Debt_Service_Annual*R$7</f>
        <v>0</v>
      </c>
      <c r="S25" s="45" t="n">
        <f aca="false">Debt_Service_Annual*S$7</f>
        <v>0</v>
      </c>
      <c r="T25" s="45" t="n">
        <f aca="false">Debt_Service_Annual*T$7</f>
        <v>0</v>
      </c>
      <c r="U25" s="45" t="n">
        <f aca="false">Debt_Service_Annual*U$7</f>
        <v>0</v>
      </c>
      <c r="V25" s="45" t="n">
        <f aca="false">Debt_Service_Annual*V$7</f>
        <v>0</v>
      </c>
      <c r="W25" s="45" t="n">
        <f aca="false">Debt_Service_Annual*W$7</f>
        <v>0</v>
      </c>
      <c r="X25" s="45" t="n">
        <f aca="false">Debt_Service_Annual*X$7</f>
        <v>0</v>
      </c>
      <c r="Y25" s="45" t="n">
        <f aca="false">Debt_Service_Annual*Y$7</f>
        <v>0</v>
      </c>
      <c r="Z25" s="45" t="n">
        <f aca="false">Debt_Service_Annual*Z$7</f>
        <v>0</v>
      </c>
      <c r="AA25" s="45" t="n">
        <f aca="false">Debt_Service_Annual*AA$7</f>
        <v>0</v>
      </c>
      <c r="AB25" s="45" t="n">
        <f aca="false">Debt_Service_Annual*AB$7</f>
        <v>0</v>
      </c>
      <c r="AC25" s="45" t="n">
        <f aca="false">Debt_Service_Annual*AC$7</f>
        <v>0</v>
      </c>
      <c r="AD25" s="45" t="n">
        <f aca="false">Debt_Service_Annual*AD$7</f>
        <v>0</v>
      </c>
    </row>
    <row r="26" customFormat="false" ht="15" hidden="false" customHeight="false" outlineLevel="0" collapsed="false">
      <c r="B26" s="4" t="s">
        <v>163</v>
      </c>
      <c r="C26" s="24" t="s">
        <v>120</v>
      </c>
      <c r="D26" s="44" t="n">
        <f aca="false">SUM(E26:AD26)</f>
        <v>5723422.39664009</v>
      </c>
      <c r="F26" s="45" t="n">
        <f aca="false">F23*Interest_Rate*F$7</f>
        <v>897000</v>
      </c>
      <c r="G26" s="45" t="n">
        <f aca="false">G23*Interest_Rate*G$7</f>
        <v>844635.642438639</v>
      </c>
      <c r="H26" s="45" t="n">
        <f aca="false">H23*Interest_Rate*H$7</f>
        <v>786249.383757722</v>
      </c>
      <c r="I26" s="45" t="n">
        <f aca="false">I23*Interest_Rate*I$7</f>
        <v>721148.705328499</v>
      </c>
      <c r="J26" s="45" t="n">
        <f aca="false">J23*Interest_Rate*J$7</f>
        <v>648561.448879915</v>
      </c>
      <c r="K26" s="45" t="n">
        <f aca="false">K23*Interest_Rate*K$7</f>
        <v>567626.657939744</v>
      </c>
      <c r="L26" s="45" t="n">
        <f aca="false">L23*Interest_Rate*L$7</f>
        <v>477384.366041453</v>
      </c>
      <c r="M26" s="45" t="n">
        <f aca="false">M23*Interest_Rate*M$7</f>
        <v>376764.210574859</v>
      </c>
      <c r="N26" s="45" t="n">
        <f aca="false">N23*Interest_Rate*N$7</f>
        <v>264572.737229607</v>
      </c>
      <c r="O26" s="45" t="n">
        <f aca="false">O23*Interest_Rate*O$7</f>
        <v>139479.244449651</v>
      </c>
      <c r="P26" s="45" t="n">
        <f aca="false">P23*Interest_Rate*P$7</f>
        <v>0</v>
      </c>
      <c r="Q26" s="45" t="n">
        <f aca="false">Q23*Interest_Rate*Q$7</f>
        <v>0</v>
      </c>
      <c r="R26" s="45" t="n">
        <f aca="false">R23*Interest_Rate*R$7</f>
        <v>0</v>
      </c>
      <c r="S26" s="45" t="n">
        <f aca="false">S23*Interest_Rate*S$7</f>
        <v>0</v>
      </c>
      <c r="T26" s="45" t="n">
        <f aca="false">T23*Interest_Rate*T$7</f>
        <v>0</v>
      </c>
      <c r="U26" s="45" t="n">
        <f aca="false">U23*Interest_Rate*U$7</f>
        <v>0</v>
      </c>
      <c r="V26" s="45" t="n">
        <f aca="false">V23*Interest_Rate*V$7</f>
        <v>0</v>
      </c>
      <c r="W26" s="45" t="n">
        <f aca="false">W23*Interest_Rate*W$7</f>
        <v>0</v>
      </c>
      <c r="X26" s="45" t="n">
        <f aca="false">X23*Interest_Rate*X$7</f>
        <v>0</v>
      </c>
      <c r="Y26" s="45" t="n">
        <f aca="false">Y23*Interest_Rate*Y$7</f>
        <v>0</v>
      </c>
      <c r="Z26" s="45" t="n">
        <f aca="false">Z23*Interest_Rate*Z$7</f>
        <v>0</v>
      </c>
      <c r="AA26" s="45" t="n">
        <f aca="false">AA23*Interest_Rate*AA$7</f>
        <v>0</v>
      </c>
      <c r="AB26" s="45" t="n">
        <f aca="false">AB23*Interest_Rate*AB$7</f>
        <v>0</v>
      </c>
      <c r="AC26" s="45" t="n">
        <f aca="false">AC23*Interest_Rate*AC$7</f>
        <v>0</v>
      </c>
      <c r="AD26" s="45" t="n">
        <f aca="false">AD23*Interest_Rate*AD$7</f>
        <v>0</v>
      </c>
    </row>
    <row r="27" customFormat="false" ht="15" hidden="false" customHeight="false" outlineLevel="0" collapsed="false">
      <c r="B27" s="4" t="s">
        <v>164</v>
      </c>
      <c r="C27" s="24" t="s">
        <v>120</v>
      </c>
      <c r="D27" s="44" t="n">
        <f aca="false">SUM(E27:AD27)</f>
        <v>7800000</v>
      </c>
      <c r="F27" s="45" t="n">
        <f aca="false">F25-F26</f>
        <v>455342.239664009</v>
      </c>
      <c r="G27" s="45" t="n">
        <f aca="false">G25-G26</f>
        <v>507706.59722537</v>
      </c>
      <c r="H27" s="45" t="n">
        <f aca="false">H25-H26</f>
        <v>566092.855906288</v>
      </c>
      <c r="I27" s="45" t="n">
        <f aca="false">I25-I26</f>
        <v>631193.534335511</v>
      </c>
      <c r="J27" s="45" t="n">
        <f aca="false">J25-J26</f>
        <v>703780.790784094</v>
      </c>
      <c r="K27" s="45" t="n">
        <f aca="false">K25-K26</f>
        <v>784715.581724265</v>
      </c>
      <c r="L27" s="45" t="n">
        <f aca="false">L25-L26</f>
        <v>874957.873622556</v>
      </c>
      <c r="M27" s="45" t="n">
        <f aca="false">M25-M26</f>
        <v>975578.02908915</v>
      </c>
      <c r="N27" s="45" t="n">
        <f aca="false">N25-N26</f>
        <v>1087769.5024344</v>
      </c>
      <c r="O27" s="45" t="n">
        <f aca="false">O25-O26</f>
        <v>1212862.99521436</v>
      </c>
      <c r="P27" s="45" t="n">
        <f aca="false">P25-P26</f>
        <v>0</v>
      </c>
      <c r="Q27" s="45" t="n">
        <f aca="false">Q25-Q26</f>
        <v>0</v>
      </c>
      <c r="R27" s="45" t="n">
        <f aca="false">R25-R26</f>
        <v>0</v>
      </c>
      <c r="S27" s="45" t="n">
        <f aca="false">S25-S26</f>
        <v>0</v>
      </c>
      <c r="T27" s="45" t="n">
        <f aca="false">T25-T26</f>
        <v>0</v>
      </c>
      <c r="U27" s="45" t="n">
        <f aca="false">U25-U26</f>
        <v>0</v>
      </c>
      <c r="V27" s="45" t="n">
        <f aca="false">V25-V26</f>
        <v>0</v>
      </c>
      <c r="W27" s="45" t="n">
        <f aca="false">W25-W26</f>
        <v>0</v>
      </c>
      <c r="X27" s="45" t="n">
        <f aca="false">X25-X26</f>
        <v>0</v>
      </c>
      <c r="Y27" s="45" t="n">
        <f aca="false">Y25-Y26</f>
        <v>0</v>
      </c>
      <c r="Z27" s="45" t="n">
        <f aca="false">Z25-Z26</f>
        <v>0</v>
      </c>
      <c r="AA27" s="45" t="n">
        <f aca="false">AA25-AA26</f>
        <v>0</v>
      </c>
      <c r="AB27" s="45" t="n">
        <f aca="false">AB25-AB26</f>
        <v>0</v>
      </c>
      <c r="AC27" s="45" t="n">
        <f aca="false">AC25-AC26</f>
        <v>0</v>
      </c>
      <c r="AD27" s="45" t="n">
        <f aca="false">AD25-AD26</f>
        <v>0</v>
      </c>
    </row>
    <row r="28" customFormat="false" ht="15" hidden="false" customHeight="false" outlineLevel="0" collapsed="false">
      <c r="B28" s="41" t="s">
        <v>165</v>
      </c>
      <c r="C28" s="42" t="s">
        <v>120</v>
      </c>
      <c r="D28" s="46"/>
      <c r="E28" s="43" t="n">
        <f aca="false">E24</f>
        <v>7800000</v>
      </c>
      <c r="F28" s="43" t="n">
        <f aca="false">F23+F24-F27</f>
        <v>7344657.76033599</v>
      </c>
      <c r="G28" s="43" t="n">
        <f aca="false">G23+G24-G27</f>
        <v>6836951.16311062</v>
      </c>
      <c r="H28" s="43" t="n">
        <f aca="false">H23+H24-H27</f>
        <v>6270858.30720433</v>
      </c>
      <c r="I28" s="43" t="n">
        <f aca="false">I23+I24-I27</f>
        <v>5639664.77286882</v>
      </c>
      <c r="J28" s="43" t="n">
        <f aca="false">J23+J24-J27</f>
        <v>4935883.98208473</v>
      </c>
      <c r="K28" s="43" t="n">
        <f aca="false">K23+K24-K27</f>
        <v>4151168.40036046</v>
      </c>
      <c r="L28" s="43" t="n">
        <f aca="false">L23+L24-L27</f>
        <v>3276210.52673791</v>
      </c>
      <c r="M28" s="43" t="n">
        <f aca="false">M23+M24-M27</f>
        <v>2300632.49764876</v>
      </c>
      <c r="N28" s="43" t="n">
        <f aca="false">N23+N24-N27</f>
        <v>1212862.99521436</v>
      </c>
      <c r="O28" s="43" t="n">
        <f aca="false">O23+O24-O27</f>
        <v>0</v>
      </c>
      <c r="P28" s="43" t="n">
        <f aca="false">P23+P24-P27</f>
        <v>0</v>
      </c>
      <c r="Q28" s="43" t="n">
        <f aca="false">Q23+Q24-Q27</f>
        <v>0</v>
      </c>
      <c r="R28" s="43" t="n">
        <f aca="false">R23+R24-R27</f>
        <v>0</v>
      </c>
      <c r="S28" s="43" t="n">
        <f aca="false">S23+S24-S27</f>
        <v>0</v>
      </c>
      <c r="T28" s="43" t="n">
        <f aca="false">T23+T24-T27</f>
        <v>0</v>
      </c>
      <c r="U28" s="43" t="n">
        <f aca="false">U23+U24-U27</f>
        <v>0</v>
      </c>
      <c r="V28" s="43" t="n">
        <f aca="false">V23+V24-V27</f>
        <v>0</v>
      </c>
      <c r="W28" s="43" t="n">
        <f aca="false">W23+W24-W27</f>
        <v>0</v>
      </c>
      <c r="X28" s="43" t="n">
        <f aca="false">X23+X24-X27</f>
        <v>0</v>
      </c>
      <c r="Y28" s="43" t="n">
        <f aca="false">Y23+Y24-Y27</f>
        <v>0</v>
      </c>
      <c r="Z28" s="43" t="n">
        <f aca="false">Z23+Z24-Z27</f>
        <v>0</v>
      </c>
      <c r="AA28" s="43" t="n">
        <f aca="false">AA23+AA24-AA27</f>
        <v>0</v>
      </c>
      <c r="AB28" s="43" t="n">
        <f aca="false">AB23+AB24-AB27</f>
        <v>0</v>
      </c>
      <c r="AC28" s="43" t="n">
        <f aca="false">AC23+AC24-AC27</f>
        <v>0</v>
      </c>
      <c r="AD28" s="43" t="n">
        <f aca="false">AD23+AD24-AD27</f>
        <v>0</v>
      </c>
    </row>
    <row r="30" customFormat="false" ht="15" hidden="false" customHeight="false" outlineLevel="0" collapsed="false">
      <c r="B30" s="21" t="s">
        <v>166</v>
      </c>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row>
    <row r="31" customFormat="false" ht="15" hidden="false" customHeight="false" outlineLevel="0" collapsed="false">
      <c r="B31" s="4" t="s">
        <v>155</v>
      </c>
      <c r="C31" s="24" t="s">
        <v>120</v>
      </c>
      <c r="D31" s="44" t="n">
        <f aca="false">SUM(E31:AD31)</f>
        <v>56608732.0683817</v>
      </c>
      <c r="F31" s="45" t="n">
        <f aca="false">F16</f>
        <v>1717500</v>
      </c>
      <c r="G31" s="45" t="n">
        <f aca="false">G16</f>
        <v>1802853.1875</v>
      </c>
      <c r="H31" s="45" t="n">
        <f aca="false">H16</f>
        <v>1892448.08724844</v>
      </c>
      <c r="I31" s="45" t="n">
        <f aca="false">I16</f>
        <v>1986495.49463687</v>
      </c>
      <c r="J31" s="45" t="n">
        <f aca="false">J16</f>
        <v>2085216.68067018</v>
      </c>
      <c r="K31" s="45" t="n">
        <f aca="false">K16</f>
        <v>2188843.91255713</v>
      </c>
      <c r="L31" s="45" t="n">
        <f aca="false">L16</f>
        <v>2297621.00017169</v>
      </c>
      <c r="M31" s="45" t="n">
        <f aca="false">M16</f>
        <v>2411803.86967102</v>
      </c>
      <c r="N31" s="45" t="n">
        <f aca="false">N16</f>
        <v>2531661.16561949</v>
      </c>
      <c r="O31" s="45" t="n">
        <f aca="false">O16</f>
        <v>2657474.88303545</v>
      </c>
      <c r="P31" s="45" t="n">
        <f aca="false">P16</f>
        <v>2789541.0308477</v>
      </c>
      <c r="Q31" s="45" t="n">
        <f aca="false">Q16</f>
        <v>2928170.32832257</v>
      </c>
      <c r="R31" s="45" t="n">
        <f aca="false">R16</f>
        <v>3073688.93610019</v>
      </c>
      <c r="S31" s="45" t="n">
        <f aca="false">S16</f>
        <v>3226439.22355963</v>
      </c>
      <c r="T31" s="45" t="n">
        <f aca="false">T16</f>
        <v>3386780.57431859</v>
      </c>
      <c r="U31" s="45" t="n">
        <f aca="false">U16</f>
        <v>3555090.23176241</v>
      </c>
      <c r="V31" s="45" t="n">
        <f aca="false">V16</f>
        <v>3731764.18659191</v>
      </c>
      <c r="W31" s="45" t="n">
        <f aca="false">W16</f>
        <v>3917218.10847807</v>
      </c>
      <c r="X31" s="45" t="n">
        <f aca="false">X16</f>
        <v>4111888.32401541</v>
      </c>
      <c r="Y31" s="45" t="n">
        <f aca="false">Y16</f>
        <v>4316232.84327501</v>
      </c>
      <c r="Z31" s="45" t="n">
        <f aca="false">Z16</f>
        <v>0</v>
      </c>
      <c r="AA31" s="45" t="n">
        <f aca="false">AA16</f>
        <v>0</v>
      </c>
      <c r="AB31" s="45" t="n">
        <f aca="false">AB16</f>
        <v>0</v>
      </c>
      <c r="AC31" s="45" t="n">
        <f aca="false">AC16</f>
        <v>0</v>
      </c>
      <c r="AD31" s="45" t="n">
        <f aca="false">AD16</f>
        <v>0</v>
      </c>
    </row>
    <row r="32" customFormat="false" ht="15" hidden="false" customHeight="false" outlineLevel="0" collapsed="false">
      <c r="B32" s="4" t="s">
        <v>167</v>
      </c>
      <c r="C32" s="24" t="s">
        <v>120</v>
      </c>
      <c r="D32" s="44" t="n">
        <f aca="false">SUM(E32:AD32)</f>
        <v>-5723422.39664009</v>
      </c>
      <c r="F32" s="45" t="n">
        <f aca="false">-F26</f>
        <v>-897000</v>
      </c>
      <c r="G32" s="45" t="n">
        <f aca="false">-G26</f>
        <v>-844635.642438639</v>
      </c>
      <c r="H32" s="45" t="n">
        <f aca="false">-H26</f>
        <v>-786249.383757722</v>
      </c>
      <c r="I32" s="45" t="n">
        <f aca="false">-I26</f>
        <v>-721148.705328499</v>
      </c>
      <c r="J32" s="45" t="n">
        <f aca="false">-J26</f>
        <v>-648561.448879915</v>
      </c>
      <c r="K32" s="45" t="n">
        <f aca="false">-K26</f>
        <v>-567626.657939744</v>
      </c>
      <c r="L32" s="45" t="n">
        <f aca="false">-L26</f>
        <v>-477384.366041453</v>
      </c>
      <c r="M32" s="45" t="n">
        <f aca="false">-M26</f>
        <v>-376764.210574859</v>
      </c>
      <c r="N32" s="45" t="n">
        <f aca="false">-N26</f>
        <v>-264572.737229607</v>
      </c>
      <c r="O32" s="45" t="n">
        <f aca="false">-O26</f>
        <v>-139479.244449651</v>
      </c>
      <c r="P32" s="45" t="n">
        <f aca="false">-P26</f>
        <v>-0</v>
      </c>
      <c r="Q32" s="45" t="n">
        <f aca="false">-Q26</f>
        <v>-0</v>
      </c>
      <c r="R32" s="45" t="n">
        <f aca="false">-R26</f>
        <v>-0</v>
      </c>
      <c r="S32" s="45" t="n">
        <f aca="false">-S26</f>
        <v>-0</v>
      </c>
      <c r="T32" s="45" t="n">
        <f aca="false">-T26</f>
        <v>-0</v>
      </c>
      <c r="U32" s="45" t="n">
        <f aca="false">-U26</f>
        <v>-0</v>
      </c>
      <c r="V32" s="45" t="n">
        <f aca="false">-V26</f>
        <v>-0</v>
      </c>
      <c r="W32" s="45" t="n">
        <f aca="false">-W26</f>
        <v>-0</v>
      </c>
      <c r="X32" s="45" t="n">
        <f aca="false">-X26</f>
        <v>-0</v>
      </c>
      <c r="Y32" s="45" t="n">
        <f aca="false">-Y26</f>
        <v>-0</v>
      </c>
      <c r="Z32" s="45" t="n">
        <f aca="false">-Z26</f>
        <v>-0</v>
      </c>
      <c r="AA32" s="45" t="n">
        <f aca="false">-AA26</f>
        <v>-0</v>
      </c>
      <c r="AB32" s="45" t="n">
        <f aca="false">-AB26</f>
        <v>-0</v>
      </c>
      <c r="AC32" s="45" t="n">
        <f aca="false">-AC26</f>
        <v>-0</v>
      </c>
      <c r="AD32" s="45" t="n">
        <f aca="false">-AD26</f>
        <v>-0</v>
      </c>
    </row>
    <row r="33" customFormat="false" ht="15" hidden="false" customHeight="false" outlineLevel="0" collapsed="false">
      <c r="B33" s="4" t="s">
        <v>168</v>
      </c>
      <c r="C33" s="24" t="s">
        <v>120</v>
      </c>
      <c r="D33" s="44" t="n">
        <f aca="false">SUM(E33:AD33)</f>
        <v>-12000000</v>
      </c>
      <c r="F33" s="45" t="n">
        <f aca="false">-F20</f>
        <v>-12000000</v>
      </c>
      <c r="G33" s="45" t="n">
        <f aca="false">-G20</f>
        <v>-0</v>
      </c>
      <c r="H33" s="45" t="n">
        <f aca="false">-H20</f>
        <v>-0</v>
      </c>
      <c r="I33" s="45" t="n">
        <f aca="false">-I20</f>
        <v>-0</v>
      </c>
      <c r="J33" s="45" t="n">
        <f aca="false">-J20</f>
        <v>-0</v>
      </c>
      <c r="K33" s="45" t="n">
        <f aca="false">-K20</f>
        <v>-0</v>
      </c>
      <c r="L33" s="45" t="n">
        <f aca="false">-L20</f>
        <v>-0</v>
      </c>
      <c r="M33" s="45" t="n">
        <f aca="false">-M20</f>
        <v>-0</v>
      </c>
      <c r="N33" s="45" t="n">
        <f aca="false">-N20</f>
        <v>-0</v>
      </c>
      <c r="O33" s="45" t="n">
        <f aca="false">-O20</f>
        <v>-0</v>
      </c>
      <c r="P33" s="45" t="n">
        <f aca="false">-P20</f>
        <v>-0</v>
      </c>
      <c r="Q33" s="45" t="n">
        <f aca="false">-Q20</f>
        <v>-0</v>
      </c>
      <c r="R33" s="45" t="n">
        <f aca="false">-R20</f>
        <v>-0</v>
      </c>
      <c r="S33" s="45" t="n">
        <f aca="false">-S20</f>
        <v>-0</v>
      </c>
      <c r="T33" s="45" t="n">
        <f aca="false">-T20</f>
        <v>-0</v>
      </c>
      <c r="U33" s="45" t="n">
        <f aca="false">-U20</f>
        <v>-0</v>
      </c>
      <c r="V33" s="45" t="n">
        <f aca="false">-V20</f>
        <v>-0</v>
      </c>
      <c r="W33" s="45" t="n">
        <f aca="false">-W20</f>
        <v>-0</v>
      </c>
      <c r="X33" s="45" t="n">
        <f aca="false">-X20</f>
        <v>-0</v>
      </c>
      <c r="Y33" s="45" t="n">
        <f aca="false">-Y20</f>
        <v>-0</v>
      </c>
      <c r="Z33" s="45" t="n">
        <f aca="false">-Z20</f>
        <v>-0</v>
      </c>
      <c r="AA33" s="45" t="n">
        <f aca="false">-AA20</f>
        <v>-0</v>
      </c>
      <c r="AB33" s="45" t="n">
        <f aca="false">-AB20</f>
        <v>-0</v>
      </c>
      <c r="AC33" s="45" t="n">
        <f aca="false">-AC20</f>
        <v>-0</v>
      </c>
      <c r="AD33" s="45" t="n">
        <f aca="false">-AD20</f>
        <v>-0</v>
      </c>
    </row>
    <row r="34" customFormat="false" ht="15" hidden="false" customHeight="false" outlineLevel="0" collapsed="false">
      <c r="B34" s="47" t="s">
        <v>169</v>
      </c>
      <c r="C34" s="42" t="s">
        <v>120</v>
      </c>
      <c r="D34" s="43" t="n">
        <f aca="false">SUM(E34:AD34)</f>
        <v>38885309.6717416</v>
      </c>
      <c r="F34" s="48" t="n">
        <f aca="false">SUM(F31:F33)</f>
        <v>-11179500</v>
      </c>
      <c r="G34" s="48" t="n">
        <f aca="false">SUM(G31:G33)</f>
        <v>958217.545061361</v>
      </c>
      <c r="H34" s="48" t="n">
        <f aca="false">SUM(H31:H33)</f>
        <v>1106198.70349072</v>
      </c>
      <c r="I34" s="48" t="n">
        <f aca="false">SUM(I31:I33)</f>
        <v>1265346.78930837</v>
      </c>
      <c r="J34" s="48" t="n">
        <f aca="false">SUM(J31:J33)</f>
        <v>1436655.23179027</v>
      </c>
      <c r="K34" s="48" t="n">
        <f aca="false">SUM(K31:K33)</f>
        <v>1621217.25461739</v>
      </c>
      <c r="L34" s="48" t="n">
        <f aca="false">SUM(L31:L33)</f>
        <v>1820236.63413024</v>
      </c>
      <c r="M34" s="48" t="n">
        <f aca="false">SUM(M31:M33)</f>
        <v>2035039.65909616</v>
      </c>
      <c r="N34" s="48" t="n">
        <f aca="false">SUM(N31:N33)</f>
        <v>2267088.42838988</v>
      </c>
      <c r="O34" s="48" t="n">
        <f aca="false">SUM(O31:O33)</f>
        <v>2517995.6385858</v>
      </c>
      <c r="P34" s="48" t="n">
        <f aca="false">SUM(P31:P33)</f>
        <v>2789541.0308477</v>
      </c>
      <c r="Q34" s="48" t="n">
        <f aca="false">SUM(Q31:Q33)</f>
        <v>2928170.32832257</v>
      </c>
      <c r="R34" s="48" t="n">
        <f aca="false">SUM(R31:R33)</f>
        <v>3073688.93610019</v>
      </c>
      <c r="S34" s="48" t="n">
        <f aca="false">SUM(S31:S33)</f>
        <v>3226439.22355963</v>
      </c>
      <c r="T34" s="48" t="n">
        <f aca="false">SUM(T31:T33)</f>
        <v>3386780.57431859</v>
      </c>
      <c r="U34" s="48" t="n">
        <f aca="false">SUM(U31:U33)</f>
        <v>3555090.23176241</v>
      </c>
      <c r="V34" s="48" t="n">
        <f aca="false">SUM(V31:V33)</f>
        <v>3731764.18659191</v>
      </c>
      <c r="W34" s="48" t="n">
        <f aca="false">SUM(W31:W33)</f>
        <v>3917218.10847807</v>
      </c>
      <c r="X34" s="48" t="n">
        <f aca="false">SUM(X31:X33)</f>
        <v>4111888.32401541</v>
      </c>
      <c r="Y34" s="48" t="n">
        <f aca="false">SUM(Y31:Y33)</f>
        <v>4316232.84327501</v>
      </c>
      <c r="Z34" s="48" t="n">
        <f aca="false">SUM(Z31:Z33)</f>
        <v>0</v>
      </c>
      <c r="AA34" s="48" t="n">
        <f aca="false">SUM(AA31:AA33)</f>
        <v>0</v>
      </c>
      <c r="AB34" s="48" t="n">
        <f aca="false">SUM(AB31:AB33)</f>
        <v>0</v>
      </c>
      <c r="AC34" s="48" t="n">
        <f aca="false">SUM(AC31:AC33)</f>
        <v>0</v>
      </c>
      <c r="AD34" s="48" t="n">
        <f aca="false">SUM(AD31:AD33)</f>
        <v>0</v>
      </c>
    </row>
    <row r="35" customFormat="false" ht="15" hidden="false" customHeight="false" outlineLevel="0" collapsed="false">
      <c r="B35" s="4" t="s">
        <v>170</v>
      </c>
      <c r="C35" s="24" t="s">
        <v>120</v>
      </c>
      <c r="F35" s="45" t="n">
        <f aca="false">E37</f>
        <v>0</v>
      </c>
      <c r="G35" s="45" t="n">
        <f aca="false">F37</f>
        <v>11179500</v>
      </c>
      <c r="H35" s="45" t="n">
        <f aca="false">G37</f>
        <v>10221282.4549386</v>
      </c>
      <c r="I35" s="45" t="n">
        <f aca="false">H37</f>
        <v>9115083.75144792</v>
      </c>
      <c r="J35" s="45" t="n">
        <f aca="false">I37</f>
        <v>7849736.96213956</v>
      </c>
      <c r="K35" s="45" t="n">
        <f aca="false">J37</f>
        <v>6413081.73034929</v>
      </c>
      <c r="L35" s="45" t="n">
        <f aca="false">K37</f>
        <v>4791864.4757319</v>
      </c>
      <c r="M35" s="45" t="n">
        <f aca="false">L37</f>
        <v>2971627.84160166</v>
      </c>
      <c r="N35" s="45" t="n">
        <f aca="false">M37</f>
        <v>936588.1825055</v>
      </c>
      <c r="O35" s="45" t="n">
        <f aca="false">N37</f>
        <v>0</v>
      </c>
      <c r="P35" s="45" t="n">
        <f aca="false">O37</f>
        <v>0</v>
      </c>
      <c r="Q35" s="45" t="n">
        <f aca="false">P37</f>
        <v>0</v>
      </c>
      <c r="R35" s="45" t="n">
        <f aca="false">Q37</f>
        <v>0</v>
      </c>
      <c r="S35" s="45" t="n">
        <f aca="false">R37</f>
        <v>0</v>
      </c>
      <c r="T35" s="45" t="n">
        <f aca="false">S37</f>
        <v>0</v>
      </c>
      <c r="U35" s="45" t="n">
        <f aca="false">T37</f>
        <v>0</v>
      </c>
      <c r="V35" s="45" t="n">
        <f aca="false">U37</f>
        <v>0</v>
      </c>
      <c r="W35" s="45" t="n">
        <f aca="false">V37</f>
        <v>0</v>
      </c>
      <c r="X35" s="45" t="n">
        <f aca="false">W37</f>
        <v>0</v>
      </c>
      <c r="Y35" s="45" t="n">
        <f aca="false">X37</f>
        <v>0</v>
      </c>
      <c r="Z35" s="45" t="n">
        <f aca="false">Y37</f>
        <v>0</v>
      </c>
      <c r="AA35" s="45" t="n">
        <f aca="false">Z37</f>
        <v>0</v>
      </c>
      <c r="AB35" s="45" t="n">
        <f aca="false">AA37</f>
        <v>0</v>
      </c>
      <c r="AC35" s="45" t="n">
        <f aca="false">AB37</f>
        <v>0</v>
      </c>
      <c r="AD35" s="45" t="n">
        <f aca="false">AC37</f>
        <v>0</v>
      </c>
    </row>
    <row r="36" customFormat="false" ht="15" hidden="false" customHeight="false" outlineLevel="0" collapsed="false">
      <c r="B36" s="4" t="s">
        <v>171</v>
      </c>
      <c r="C36" s="24" t="s">
        <v>120</v>
      </c>
      <c r="D36" s="44" t="n">
        <f aca="false">SUM(E36:AD36)</f>
        <v>38885309.6717416</v>
      </c>
      <c r="F36" s="45" t="n">
        <f aca="false">MAX(0,F34-F35)</f>
        <v>0</v>
      </c>
      <c r="G36" s="45" t="n">
        <f aca="false">MAX(0,G34-G35)</f>
        <v>0</v>
      </c>
      <c r="H36" s="45" t="n">
        <f aca="false">MAX(0,H34-H35)</f>
        <v>0</v>
      </c>
      <c r="I36" s="45" t="n">
        <f aca="false">MAX(0,I34-I35)</f>
        <v>0</v>
      </c>
      <c r="J36" s="45" t="n">
        <f aca="false">MAX(0,J34-J35)</f>
        <v>0</v>
      </c>
      <c r="K36" s="45" t="n">
        <f aca="false">MAX(0,K34-K35)</f>
        <v>0</v>
      </c>
      <c r="L36" s="45" t="n">
        <f aca="false">MAX(0,L34-L35)</f>
        <v>0</v>
      </c>
      <c r="M36" s="45" t="n">
        <f aca="false">MAX(0,M34-M35)</f>
        <v>0</v>
      </c>
      <c r="N36" s="45" t="n">
        <f aca="false">MAX(0,N34-N35)</f>
        <v>1330500.24588438</v>
      </c>
      <c r="O36" s="45" t="n">
        <f aca="false">MAX(0,O34-O35)</f>
        <v>2517995.6385858</v>
      </c>
      <c r="P36" s="45" t="n">
        <f aca="false">MAX(0,P34-P35)</f>
        <v>2789541.0308477</v>
      </c>
      <c r="Q36" s="45" t="n">
        <f aca="false">MAX(0,Q34-Q35)</f>
        <v>2928170.32832257</v>
      </c>
      <c r="R36" s="45" t="n">
        <f aca="false">MAX(0,R34-R35)</f>
        <v>3073688.93610019</v>
      </c>
      <c r="S36" s="45" t="n">
        <f aca="false">MAX(0,S34-S35)</f>
        <v>3226439.22355963</v>
      </c>
      <c r="T36" s="45" t="n">
        <f aca="false">MAX(0,T34-T35)</f>
        <v>3386780.57431859</v>
      </c>
      <c r="U36" s="45" t="n">
        <f aca="false">MAX(0,U34-U35)</f>
        <v>3555090.23176241</v>
      </c>
      <c r="V36" s="45" t="n">
        <f aca="false">MAX(0,V34-V35)</f>
        <v>3731764.18659191</v>
      </c>
      <c r="W36" s="45" t="n">
        <f aca="false">MAX(0,W34-W35)</f>
        <v>3917218.10847807</v>
      </c>
      <c r="X36" s="45" t="n">
        <f aca="false">MAX(0,X34-X35)</f>
        <v>4111888.32401541</v>
      </c>
      <c r="Y36" s="45" t="n">
        <f aca="false">MAX(0,Y34-Y35)</f>
        <v>4316232.84327501</v>
      </c>
      <c r="Z36" s="45" t="n">
        <f aca="false">MAX(0,Z34-Z35)</f>
        <v>0</v>
      </c>
      <c r="AA36" s="45" t="n">
        <f aca="false">MAX(0,AA34-AA35)</f>
        <v>0</v>
      </c>
      <c r="AB36" s="45" t="n">
        <f aca="false">MAX(0,AB34-AB35)</f>
        <v>0</v>
      </c>
      <c r="AC36" s="45" t="n">
        <f aca="false">MAX(0,AC34-AC35)</f>
        <v>0</v>
      </c>
      <c r="AD36" s="45" t="n">
        <f aca="false">MAX(0,AD34-AD35)</f>
        <v>0</v>
      </c>
    </row>
    <row r="37" customFormat="false" ht="15" hidden="false" customHeight="false" outlineLevel="0" collapsed="false">
      <c r="B37" s="4" t="s">
        <v>172</v>
      </c>
      <c r="C37" s="24" t="s">
        <v>120</v>
      </c>
      <c r="F37" s="45" t="n">
        <f aca="false">MAX(0,F35-F34)</f>
        <v>11179500</v>
      </c>
      <c r="G37" s="45" t="n">
        <f aca="false">MAX(0,G35-G34)</f>
        <v>10221282.4549386</v>
      </c>
      <c r="H37" s="45" t="n">
        <f aca="false">MAX(0,H35-H34)</f>
        <v>9115083.75144792</v>
      </c>
      <c r="I37" s="45" t="n">
        <f aca="false">MAX(0,I35-I34)</f>
        <v>7849736.96213956</v>
      </c>
      <c r="J37" s="45" t="n">
        <f aca="false">MAX(0,J35-J34)</f>
        <v>6413081.73034929</v>
      </c>
      <c r="K37" s="45" t="n">
        <f aca="false">MAX(0,K35-K34)</f>
        <v>4791864.4757319</v>
      </c>
      <c r="L37" s="45" t="n">
        <f aca="false">MAX(0,L35-L34)</f>
        <v>2971627.84160166</v>
      </c>
      <c r="M37" s="45" t="n">
        <f aca="false">MAX(0,M35-M34)</f>
        <v>936588.1825055</v>
      </c>
      <c r="N37" s="45" t="n">
        <f aca="false">MAX(0,N35-N34)</f>
        <v>0</v>
      </c>
      <c r="O37" s="45" t="n">
        <f aca="false">MAX(0,O35-O34)</f>
        <v>0</v>
      </c>
      <c r="P37" s="45" t="n">
        <f aca="false">MAX(0,P35-P34)</f>
        <v>0</v>
      </c>
      <c r="Q37" s="45" t="n">
        <f aca="false">MAX(0,Q35-Q34)</f>
        <v>0</v>
      </c>
      <c r="R37" s="45" t="n">
        <f aca="false">MAX(0,R35-R34)</f>
        <v>0</v>
      </c>
      <c r="S37" s="45" t="n">
        <f aca="false">MAX(0,S35-S34)</f>
        <v>0</v>
      </c>
      <c r="T37" s="45" t="n">
        <f aca="false">MAX(0,T35-T34)</f>
        <v>0</v>
      </c>
      <c r="U37" s="45" t="n">
        <f aca="false">MAX(0,U35-U34)</f>
        <v>0</v>
      </c>
      <c r="V37" s="45" t="n">
        <f aca="false">MAX(0,V35-V34)</f>
        <v>0</v>
      </c>
      <c r="W37" s="45" t="n">
        <f aca="false">MAX(0,W35-W34)</f>
        <v>0</v>
      </c>
      <c r="X37" s="45" t="n">
        <f aca="false">MAX(0,X35-X34)</f>
        <v>0</v>
      </c>
      <c r="Y37" s="45" t="n">
        <f aca="false">MAX(0,Y35-Y34)</f>
        <v>0</v>
      </c>
      <c r="Z37" s="45" t="n">
        <f aca="false">MAX(0,Z35-Z34)</f>
        <v>0</v>
      </c>
      <c r="AA37" s="45" t="n">
        <f aca="false">MAX(0,AA35-AA34)</f>
        <v>0</v>
      </c>
      <c r="AB37" s="45" t="n">
        <f aca="false">MAX(0,AB35-AB34)</f>
        <v>0</v>
      </c>
      <c r="AC37" s="45" t="n">
        <f aca="false">MAX(0,AC35-AC34)</f>
        <v>0</v>
      </c>
      <c r="AD37" s="45" t="n">
        <f aca="false">MAX(0,AD35-AD34)</f>
        <v>0</v>
      </c>
    </row>
    <row r="38" customFormat="false" ht="15" hidden="false" customHeight="false" outlineLevel="0" collapsed="false">
      <c r="B38" s="41" t="s">
        <v>173</v>
      </c>
      <c r="C38" s="42" t="s">
        <v>120</v>
      </c>
      <c r="D38" s="43" t="n">
        <f aca="false">SUM(E38:AD38)</f>
        <v>10499033.6113702</v>
      </c>
      <c r="F38" s="43" t="n">
        <f aca="false">Tax_Rate*F36</f>
        <v>0</v>
      </c>
      <c r="G38" s="43" t="n">
        <f aca="false">Tax_Rate*G36</f>
        <v>0</v>
      </c>
      <c r="H38" s="43" t="n">
        <f aca="false">Tax_Rate*H36</f>
        <v>0</v>
      </c>
      <c r="I38" s="43" t="n">
        <f aca="false">Tax_Rate*I36</f>
        <v>0</v>
      </c>
      <c r="J38" s="43" t="n">
        <f aca="false">Tax_Rate*J36</f>
        <v>0</v>
      </c>
      <c r="K38" s="43" t="n">
        <f aca="false">Tax_Rate*K36</f>
        <v>0</v>
      </c>
      <c r="L38" s="43" t="n">
        <f aca="false">Tax_Rate*L36</f>
        <v>0</v>
      </c>
      <c r="M38" s="43" t="n">
        <f aca="false">Tax_Rate*M36</f>
        <v>0</v>
      </c>
      <c r="N38" s="43" t="n">
        <f aca="false">Tax_Rate*N36</f>
        <v>359235.066388783</v>
      </c>
      <c r="O38" s="43" t="n">
        <f aca="false">Tax_Rate*O36</f>
        <v>679858.822418166</v>
      </c>
      <c r="P38" s="43" t="n">
        <f aca="false">Tax_Rate*P36</f>
        <v>753176.078328878</v>
      </c>
      <c r="Q38" s="43" t="n">
        <f aca="false">Tax_Rate*Q36</f>
        <v>790605.988647095</v>
      </c>
      <c r="R38" s="43" t="n">
        <f aca="false">Tax_Rate*R36</f>
        <v>829896.01274705</v>
      </c>
      <c r="S38" s="43" t="n">
        <f aca="false">Tax_Rate*S36</f>
        <v>871138.5903611</v>
      </c>
      <c r="T38" s="43" t="n">
        <f aca="false">Tax_Rate*T36</f>
        <v>914430.755066018</v>
      </c>
      <c r="U38" s="43" t="n">
        <f aca="false">Tax_Rate*U36</f>
        <v>959874.36257585</v>
      </c>
      <c r="V38" s="43" t="n">
        <f aca="false">Tax_Rate*V36</f>
        <v>1007576.33037982</v>
      </c>
      <c r="W38" s="43" t="n">
        <f aca="false">Tax_Rate*W36</f>
        <v>1057648.88928908</v>
      </c>
      <c r="X38" s="43" t="n">
        <f aca="false">Tax_Rate*X36</f>
        <v>1110209.84748416</v>
      </c>
      <c r="Y38" s="43" t="n">
        <f aca="false">Tax_Rate*Y36</f>
        <v>1165382.86768425</v>
      </c>
      <c r="Z38" s="43" t="n">
        <f aca="false">Tax_Rate*Z36</f>
        <v>0</v>
      </c>
      <c r="AA38" s="43" t="n">
        <f aca="false">Tax_Rate*AA36</f>
        <v>0</v>
      </c>
      <c r="AB38" s="43" t="n">
        <f aca="false">Tax_Rate*AB36</f>
        <v>0</v>
      </c>
      <c r="AC38" s="43" t="n">
        <f aca="false">Tax_Rate*AC36</f>
        <v>0</v>
      </c>
      <c r="AD38" s="43" t="n">
        <f aca="false">Tax_Rate*AD36</f>
        <v>0</v>
      </c>
    </row>
    <row r="40" customFormat="false" ht="15" hidden="false" customHeight="false" outlineLevel="0" collapsed="false">
      <c r="B40" s="21" t="s">
        <v>174</v>
      </c>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row>
    <row r="41" customFormat="false" ht="15" hidden="false" customHeight="false" outlineLevel="0" collapsed="false">
      <c r="B41" s="4" t="s">
        <v>155</v>
      </c>
      <c r="C41" s="24" t="s">
        <v>120</v>
      </c>
      <c r="D41" s="44" t="n">
        <f aca="false">SUM(E41:AD41)</f>
        <v>56608732.0683817</v>
      </c>
      <c r="F41" s="45" t="n">
        <f aca="false">F16</f>
        <v>1717500</v>
      </c>
      <c r="G41" s="45" t="n">
        <f aca="false">G16</f>
        <v>1802853.1875</v>
      </c>
      <c r="H41" s="45" t="n">
        <f aca="false">H16</f>
        <v>1892448.08724844</v>
      </c>
      <c r="I41" s="45" t="n">
        <f aca="false">I16</f>
        <v>1986495.49463687</v>
      </c>
      <c r="J41" s="45" t="n">
        <f aca="false">J16</f>
        <v>2085216.68067018</v>
      </c>
      <c r="K41" s="45" t="n">
        <f aca="false">K16</f>
        <v>2188843.91255713</v>
      </c>
      <c r="L41" s="45" t="n">
        <f aca="false">L16</f>
        <v>2297621.00017169</v>
      </c>
      <c r="M41" s="45" t="n">
        <f aca="false">M16</f>
        <v>2411803.86967102</v>
      </c>
      <c r="N41" s="45" t="n">
        <f aca="false">N16</f>
        <v>2531661.16561949</v>
      </c>
      <c r="O41" s="45" t="n">
        <f aca="false">O16</f>
        <v>2657474.88303545</v>
      </c>
      <c r="P41" s="45" t="n">
        <f aca="false">P16</f>
        <v>2789541.0308477</v>
      </c>
      <c r="Q41" s="45" t="n">
        <f aca="false">Q16</f>
        <v>2928170.32832257</v>
      </c>
      <c r="R41" s="45" t="n">
        <f aca="false">R16</f>
        <v>3073688.93610019</v>
      </c>
      <c r="S41" s="45" t="n">
        <f aca="false">S16</f>
        <v>3226439.22355963</v>
      </c>
      <c r="T41" s="45" t="n">
        <f aca="false">T16</f>
        <v>3386780.57431859</v>
      </c>
      <c r="U41" s="45" t="n">
        <f aca="false">U16</f>
        <v>3555090.23176241</v>
      </c>
      <c r="V41" s="45" t="n">
        <f aca="false">V16</f>
        <v>3731764.18659191</v>
      </c>
      <c r="W41" s="45" t="n">
        <f aca="false">W16</f>
        <v>3917218.10847807</v>
      </c>
      <c r="X41" s="45" t="n">
        <f aca="false">X16</f>
        <v>4111888.32401541</v>
      </c>
      <c r="Y41" s="45" t="n">
        <f aca="false">Y16</f>
        <v>4316232.84327501</v>
      </c>
      <c r="Z41" s="45" t="n">
        <f aca="false">Z16</f>
        <v>0</v>
      </c>
      <c r="AA41" s="45" t="n">
        <f aca="false">AA16</f>
        <v>0</v>
      </c>
      <c r="AB41" s="45" t="n">
        <f aca="false">AB16</f>
        <v>0</v>
      </c>
      <c r="AC41" s="45" t="n">
        <f aca="false">AC16</f>
        <v>0</v>
      </c>
      <c r="AD41" s="45" t="n">
        <f aca="false">AD16</f>
        <v>0</v>
      </c>
    </row>
    <row r="42" customFormat="false" ht="15" hidden="false" customHeight="false" outlineLevel="0" collapsed="false">
      <c r="B42" s="4" t="s">
        <v>175</v>
      </c>
      <c r="C42" s="24" t="s">
        <v>120</v>
      </c>
      <c r="D42" s="44" t="n">
        <f aca="false">SUM(E42:AD42)</f>
        <v>-10499033.6113702</v>
      </c>
      <c r="F42" s="45" t="n">
        <f aca="false">-F38</f>
        <v>-0</v>
      </c>
      <c r="G42" s="45" t="n">
        <f aca="false">-G38</f>
        <v>-0</v>
      </c>
      <c r="H42" s="45" t="n">
        <f aca="false">-H38</f>
        <v>-0</v>
      </c>
      <c r="I42" s="45" t="n">
        <f aca="false">-I38</f>
        <v>-0</v>
      </c>
      <c r="J42" s="45" t="n">
        <f aca="false">-J38</f>
        <v>-0</v>
      </c>
      <c r="K42" s="45" t="n">
        <f aca="false">-K38</f>
        <v>-0</v>
      </c>
      <c r="L42" s="45" t="n">
        <f aca="false">-L38</f>
        <v>-0</v>
      </c>
      <c r="M42" s="45" t="n">
        <f aca="false">-M38</f>
        <v>-0</v>
      </c>
      <c r="N42" s="45" t="n">
        <f aca="false">-N38</f>
        <v>-359235.066388783</v>
      </c>
      <c r="O42" s="45" t="n">
        <f aca="false">-O38</f>
        <v>-679858.822418166</v>
      </c>
      <c r="P42" s="45" t="n">
        <f aca="false">-P38</f>
        <v>-753176.078328878</v>
      </c>
      <c r="Q42" s="45" t="n">
        <f aca="false">-Q38</f>
        <v>-790605.988647095</v>
      </c>
      <c r="R42" s="45" t="n">
        <f aca="false">-R38</f>
        <v>-829896.01274705</v>
      </c>
      <c r="S42" s="45" t="n">
        <f aca="false">-S38</f>
        <v>-871138.5903611</v>
      </c>
      <c r="T42" s="45" t="n">
        <f aca="false">-T38</f>
        <v>-914430.755066018</v>
      </c>
      <c r="U42" s="45" t="n">
        <f aca="false">-U38</f>
        <v>-959874.36257585</v>
      </c>
      <c r="V42" s="45" t="n">
        <f aca="false">-V38</f>
        <v>-1007576.33037982</v>
      </c>
      <c r="W42" s="45" t="n">
        <f aca="false">-W38</f>
        <v>-1057648.88928908</v>
      </c>
      <c r="X42" s="45" t="n">
        <f aca="false">-X38</f>
        <v>-1110209.84748416</v>
      </c>
      <c r="Y42" s="45" t="n">
        <f aca="false">-Y38</f>
        <v>-1165382.86768425</v>
      </c>
      <c r="Z42" s="45" t="n">
        <f aca="false">-Z38</f>
        <v>-0</v>
      </c>
      <c r="AA42" s="45" t="n">
        <f aca="false">-AA38</f>
        <v>-0</v>
      </c>
      <c r="AB42" s="45" t="n">
        <f aca="false">-AB38</f>
        <v>-0</v>
      </c>
      <c r="AC42" s="45" t="n">
        <f aca="false">-AC38</f>
        <v>-0</v>
      </c>
      <c r="AD42" s="45" t="n">
        <f aca="false">-AD38</f>
        <v>-0</v>
      </c>
    </row>
    <row r="43" customFormat="false" ht="15" hidden="false" customHeight="false" outlineLevel="0" collapsed="false">
      <c r="B43" s="41" t="s">
        <v>176</v>
      </c>
      <c r="C43" s="42" t="s">
        <v>120</v>
      </c>
      <c r="D43" s="43" t="n">
        <f aca="false">SUM(E43:AD43)</f>
        <v>46109698.4570115</v>
      </c>
      <c r="F43" s="43" t="n">
        <f aca="false">F41+F42</f>
        <v>1717500</v>
      </c>
      <c r="G43" s="43" t="n">
        <f aca="false">G41+G42</f>
        <v>1802853.1875</v>
      </c>
      <c r="H43" s="43" t="n">
        <f aca="false">H41+H42</f>
        <v>1892448.08724844</v>
      </c>
      <c r="I43" s="43" t="n">
        <f aca="false">I41+I42</f>
        <v>1986495.49463687</v>
      </c>
      <c r="J43" s="43" t="n">
        <f aca="false">J41+J42</f>
        <v>2085216.68067018</v>
      </c>
      <c r="K43" s="43" t="n">
        <f aca="false">K41+K42</f>
        <v>2188843.91255713</v>
      </c>
      <c r="L43" s="43" t="n">
        <f aca="false">L41+L42</f>
        <v>2297621.00017169</v>
      </c>
      <c r="M43" s="43" t="n">
        <f aca="false">M41+M42</f>
        <v>2411803.86967102</v>
      </c>
      <c r="N43" s="43" t="n">
        <f aca="false">N41+N42</f>
        <v>2172426.09923071</v>
      </c>
      <c r="O43" s="43" t="n">
        <f aca="false">O41+O42</f>
        <v>1977616.06061728</v>
      </c>
      <c r="P43" s="43" t="n">
        <f aca="false">P41+P42</f>
        <v>2036364.95251882</v>
      </c>
      <c r="Q43" s="43" t="n">
        <f aca="false">Q41+Q42</f>
        <v>2137564.33967548</v>
      </c>
      <c r="R43" s="43" t="n">
        <f aca="false">R41+R42</f>
        <v>2243792.92335314</v>
      </c>
      <c r="S43" s="43" t="n">
        <f aca="false">S41+S42</f>
        <v>2355300.63319853</v>
      </c>
      <c r="T43" s="43" t="n">
        <f aca="false">T41+T42</f>
        <v>2472349.81925257</v>
      </c>
      <c r="U43" s="43" t="n">
        <f aca="false">U41+U42</f>
        <v>2595215.86918656</v>
      </c>
      <c r="V43" s="43" t="n">
        <f aca="false">V41+V42</f>
        <v>2724187.85621209</v>
      </c>
      <c r="W43" s="43" t="n">
        <f aca="false">W41+W42</f>
        <v>2859569.21918899</v>
      </c>
      <c r="X43" s="43" t="n">
        <f aca="false">X41+X42</f>
        <v>3001678.47653125</v>
      </c>
      <c r="Y43" s="43" t="n">
        <f aca="false">Y41+Y42</f>
        <v>3150849.97559075</v>
      </c>
      <c r="Z43" s="43" t="n">
        <f aca="false">Z41+Z42</f>
        <v>0</v>
      </c>
      <c r="AA43" s="43" t="n">
        <f aca="false">AA41+AA42</f>
        <v>0</v>
      </c>
      <c r="AB43" s="43" t="n">
        <f aca="false">AB41+AB42</f>
        <v>0</v>
      </c>
      <c r="AC43" s="43" t="n">
        <f aca="false">AC41+AC42</f>
        <v>0</v>
      </c>
      <c r="AD43" s="43" t="n">
        <f aca="false">AD41+AD42</f>
        <v>0</v>
      </c>
    </row>
    <row r="44" customFormat="false" ht="15" hidden="false" customHeight="false" outlineLevel="0" collapsed="false">
      <c r="B44" s="4" t="s">
        <v>177</v>
      </c>
      <c r="C44" s="24" t="s">
        <v>120</v>
      </c>
      <c r="D44" s="44" t="n">
        <f aca="false">SUM(E44:AD44)</f>
        <v>13523422.3966401</v>
      </c>
      <c r="F44" s="45" t="n">
        <f aca="false">F25</f>
        <v>1352342.23966401</v>
      </c>
      <c r="G44" s="45" t="n">
        <f aca="false">G25</f>
        <v>1352342.23966401</v>
      </c>
      <c r="H44" s="45" t="n">
        <f aca="false">H25</f>
        <v>1352342.23966401</v>
      </c>
      <c r="I44" s="45" t="n">
        <f aca="false">I25</f>
        <v>1352342.23966401</v>
      </c>
      <c r="J44" s="45" t="n">
        <f aca="false">J25</f>
        <v>1352342.23966401</v>
      </c>
      <c r="K44" s="45" t="n">
        <f aca="false">K25</f>
        <v>1352342.23966401</v>
      </c>
      <c r="L44" s="45" t="n">
        <f aca="false">L25</f>
        <v>1352342.23966401</v>
      </c>
      <c r="M44" s="45" t="n">
        <f aca="false">M25</f>
        <v>1352342.23966401</v>
      </c>
      <c r="N44" s="45" t="n">
        <f aca="false">N25</f>
        <v>1352342.23966401</v>
      </c>
      <c r="O44" s="45" t="n">
        <f aca="false">O25</f>
        <v>1352342.23966401</v>
      </c>
      <c r="P44" s="45" t="n">
        <f aca="false">P25</f>
        <v>0</v>
      </c>
      <c r="Q44" s="45" t="n">
        <f aca="false">Q25</f>
        <v>0</v>
      </c>
      <c r="R44" s="45" t="n">
        <f aca="false">R25</f>
        <v>0</v>
      </c>
      <c r="S44" s="45" t="n">
        <f aca="false">S25</f>
        <v>0</v>
      </c>
      <c r="T44" s="45" t="n">
        <f aca="false">T25</f>
        <v>0</v>
      </c>
      <c r="U44" s="45" t="n">
        <f aca="false">U25</f>
        <v>0</v>
      </c>
      <c r="V44" s="45" t="n">
        <f aca="false">V25</f>
        <v>0</v>
      </c>
      <c r="W44" s="45" t="n">
        <f aca="false">W25</f>
        <v>0</v>
      </c>
      <c r="X44" s="45" t="n">
        <f aca="false">X25</f>
        <v>0</v>
      </c>
      <c r="Y44" s="45" t="n">
        <f aca="false">Y25</f>
        <v>0</v>
      </c>
      <c r="Z44" s="45" t="n">
        <f aca="false">Z25</f>
        <v>0</v>
      </c>
      <c r="AA44" s="45" t="n">
        <f aca="false">AA25</f>
        <v>0</v>
      </c>
      <c r="AB44" s="45" t="n">
        <f aca="false">AB25</f>
        <v>0</v>
      </c>
      <c r="AC44" s="45" t="n">
        <f aca="false">AC25</f>
        <v>0</v>
      </c>
      <c r="AD44" s="45" t="n">
        <f aca="false">AD25</f>
        <v>0</v>
      </c>
    </row>
    <row r="45" customFormat="false" ht="15" hidden="false" customHeight="false" outlineLevel="0" collapsed="false">
      <c r="B45" s="3" t="s">
        <v>178</v>
      </c>
      <c r="C45" s="24" t="s">
        <v>111</v>
      </c>
      <c r="F45" s="49" t="n">
        <f aca="false">IF(AND(F$7=1,F44&gt;0),F43/F44,"")</f>
        <v>1.27001874941562</v>
      </c>
      <c r="G45" s="49" t="n">
        <f aca="false">IF(AND(G$7=1,G44&gt;0),G43/G44,"")</f>
        <v>1.33313382856985</v>
      </c>
      <c r="H45" s="49" t="n">
        <f aca="false">IF(AND(H$7=1,H44&gt;0),H43/H44,"")</f>
        <v>1.39938547487699</v>
      </c>
      <c r="I45" s="49" t="n">
        <f aca="false">IF(AND(I$7=1,I44&gt;0),I43/I44,"")</f>
        <v>1.46892956263084</v>
      </c>
      <c r="J45" s="49" t="n">
        <f aca="false">IF(AND(J$7=1,J44&gt;0),J43/J44,"")</f>
        <v>1.54192971239903</v>
      </c>
      <c r="K45" s="49" t="n">
        <f aca="false">IF(AND(K$7=1,K44&gt;0),K43/K44,"")</f>
        <v>1.61855767597776</v>
      </c>
      <c r="L45" s="49" t="n">
        <f aca="false">IF(AND(L$7=1,L44&gt;0),L43/L44,"")</f>
        <v>1.69899374047692</v>
      </c>
      <c r="M45" s="49" t="n">
        <f aca="false">IF(AND(M$7=1,M44&gt;0),M43/M44,"")</f>
        <v>1.78342715248637</v>
      </c>
      <c r="N45" s="49" t="n">
        <f aca="false">IF(AND(N$7=1,N44&gt;0),N43/N44,"")</f>
        <v>1.60641739606569</v>
      </c>
      <c r="O45" s="49" t="n">
        <f aca="false">IF(AND(O$7=1,O44&gt;0),O43/O44,"")</f>
        <v>1.46236359599965</v>
      </c>
      <c r="P45" s="49" t="str">
        <f aca="false">IF(AND(P$7=1,P44&gt;0),P43/P44,"")</f>
        <v/>
      </c>
      <c r="Q45" s="49" t="str">
        <f aca="false">IF(AND(Q$7=1,Q44&gt;0),Q43/Q44,"")</f>
        <v/>
      </c>
      <c r="R45" s="49" t="str">
        <f aca="false">IF(AND(R$7=1,R44&gt;0),R43/R44,"")</f>
        <v/>
      </c>
      <c r="S45" s="49" t="str">
        <f aca="false">IF(AND(S$7=1,S44&gt;0),S43/S44,"")</f>
        <v/>
      </c>
      <c r="T45" s="49" t="str">
        <f aca="false">IF(AND(T$7=1,T44&gt;0),T43/T44,"")</f>
        <v/>
      </c>
      <c r="U45" s="49" t="str">
        <f aca="false">IF(AND(U$7=1,U44&gt;0),U43/U44,"")</f>
        <v/>
      </c>
      <c r="V45" s="49" t="str">
        <f aca="false">IF(AND(V$7=1,V44&gt;0),V43/V44,"")</f>
        <v/>
      </c>
      <c r="W45" s="49" t="str">
        <f aca="false">IF(AND(W$7=1,W44&gt;0),W43/W44,"")</f>
        <v/>
      </c>
      <c r="X45" s="49" t="str">
        <f aca="false">IF(AND(X$7=1,X44&gt;0),X43/X44,"")</f>
        <v/>
      </c>
      <c r="Y45" s="49" t="str">
        <f aca="false">IF(AND(Y$7=1,Y44&gt;0),Y43/Y44,"")</f>
        <v/>
      </c>
      <c r="Z45" s="49" t="str">
        <f aca="false">IF(AND(Z$7=1,Z44&gt;0),Z43/Z44,"")</f>
        <v/>
      </c>
      <c r="AA45" s="49" t="str">
        <f aca="false">IF(AND(AA$7=1,AA44&gt;0),AA43/AA44,"")</f>
        <v/>
      </c>
      <c r="AB45" s="49" t="str">
        <f aca="false">IF(AND(AB$7=1,AB44&gt;0),AB43/AB44,"")</f>
        <v/>
      </c>
      <c r="AC45" s="49" t="str">
        <f aca="false">IF(AND(AC$7=1,AC44&gt;0),AC43/AC44,"")</f>
        <v/>
      </c>
      <c r="AD45" s="49" t="str">
        <f aca="false">IF(AND(AD$7=1,AD44&gt;0),AD43/AD44,"")</f>
        <v/>
      </c>
    </row>
    <row r="46" customFormat="false" ht="15" hidden="false" customHeight="false" outlineLevel="0" collapsed="false">
      <c r="B46" s="4" t="s">
        <v>179</v>
      </c>
      <c r="C46" s="24" t="s">
        <v>111</v>
      </c>
      <c r="F46" s="50" t="n">
        <f aca="false">IF(F$7=1,DSCR_Threshold,"")</f>
        <v>1.2</v>
      </c>
      <c r="G46" s="50" t="n">
        <f aca="false">IF(G$7=1,DSCR_Threshold,"")</f>
        <v>1.2</v>
      </c>
      <c r="H46" s="50" t="n">
        <f aca="false">IF(H$7=1,DSCR_Threshold,"")</f>
        <v>1.2</v>
      </c>
      <c r="I46" s="50" t="n">
        <f aca="false">IF(I$7=1,DSCR_Threshold,"")</f>
        <v>1.2</v>
      </c>
      <c r="J46" s="50" t="n">
        <f aca="false">IF(J$7=1,DSCR_Threshold,"")</f>
        <v>1.2</v>
      </c>
      <c r="K46" s="50" t="n">
        <f aca="false">IF(K$7=1,DSCR_Threshold,"")</f>
        <v>1.2</v>
      </c>
      <c r="L46" s="50" t="n">
        <f aca="false">IF(L$7=1,DSCR_Threshold,"")</f>
        <v>1.2</v>
      </c>
      <c r="M46" s="50" t="n">
        <f aca="false">IF(M$7=1,DSCR_Threshold,"")</f>
        <v>1.2</v>
      </c>
      <c r="N46" s="50" t="n">
        <f aca="false">IF(N$7=1,DSCR_Threshold,"")</f>
        <v>1.2</v>
      </c>
      <c r="O46" s="50" t="n">
        <f aca="false">IF(O$7=1,DSCR_Threshold,"")</f>
        <v>1.2</v>
      </c>
      <c r="P46" s="50" t="str">
        <f aca="false">IF(P$7=1,DSCR_Threshold,"")</f>
        <v/>
      </c>
      <c r="Q46" s="50" t="str">
        <f aca="false">IF(Q$7=1,DSCR_Threshold,"")</f>
        <v/>
      </c>
      <c r="R46" s="50" t="str">
        <f aca="false">IF(R$7=1,DSCR_Threshold,"")</f>
        <v/>
      </c>
      <c r="S46" s="50" t="str">
        <f aca="false">IF(S$7=1,DSCR_Threshold,"")</f>
        <v/>
      </c>
      <c r="T46" s="50" t="str">
        <f aca="false">IF(T$7=1,DSCR_Threshold,"")</f>
        <v/>
      </c>
      <c r="U46" s="50" t="str">
        <f aca="false">IF(U$7=1,DSCR_Threshold,"")</f>
        <v/>
      </c>
      <c r="V46" s="50" t="str">
        <f aca="false">IF(V$7=1,DSCR_Threshold,"")</f>
        <v/>
      </c>
      <c r="W46" s="50" t="str">
        <f aca="false">IF(W$7=1,DSCR_Threshold,"")</f>
        <v/>
      </c>
      <c r="X46" s="50" t="str">
        <f aca="false">IF(X$7=1,DSCR_Threshold,"")</f>
        <v/>
      </c>
      <c r="Y46" s="50" t="str">
        <f aca="false">IF(Y$7=1,DSCR_Threshold,"")</f>
        <v/>
      </c>
      <c r="Z46" s="50" t="str">
        <f aca="false">IF(Z$7=1,DSCR_Threshold,"")</f>
        <v/>
      </c>
      <c r="AA46" s="50" t="str">
        <f aca="false">IF(AA$7=1,DSCR_Threshold,"")</f>
        <v/>
      </c>
      <c r="AB46" s="50" t="str">
        <f aca="false">IF(AB$7=1,DSCR_Threshold,"")</f>
        <v/>
      </c>
      <c r="AC46" s="50" t="str">
        <f aca="false">IF(AC$7=1,DSCR_Threshold,"")</f>
        <v/>
      </c>
      <c r="AD46" s="50" t="str">
        <f aca="false">IF(AD$7=1,DSCR_Threshold,"")</f>
        <v/>
      </c>
    </row>
    <row r="48" customFormat="false" ht="15" hidden="false" customHeight="false" outlineLevel="0" collapsed="false">
      <c r="B48" s="21" t="s">
        <v>180</v>
      </c>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customFormat="false" ht="15" hidden="false" customHeight="false" outlineLevel="0" collapsed="false">
      <c r="B49" s="4" t="s">
        <v>124</v>
      </c>
      <c r="C49" s="24" t="s">
        <v>120</v>
      </c>
      <c r="D49" s="44" t="n">
        <f aca="false">SUM(E49:AD49)</f>
        <v>-4200000</v>
      </c>
      <c r="E49" s="45" t="n">
        <f aca="false">IF(E$5=0,-Equity_Amount,0)</f>
        <v>-4200000</v>
      </c>
      <c r="F49" s="45" t="n">
        <f aca="false">IF(F$5=0,-Equity_Amount,0)</f>
        <v>0</v>
      </c>
      <c r="G49" s="45" t="n">
        <f aca="false">IF(G$5=0,-Equity_Amount,0)</f>
        <v>0</v>
      </c>
      <c r="H49" s="45" t="n">
        <f aca="false">IF(H$5=0,-Equity_Amount,0)</f>
        <v>0</v>
      </c>
      <c r="I49" s="45" t="n">
        <f aca="false">IF(I$5=0,-Equity_Amount,0)</f>
        <v>0</v>
      </c>
      <c r="J49" s="45" t="n">
        <f aca="false">IF(J$5=0,-Equity_Amount,0)</f>
        <v>0</v>
      </c>
      <c r="K49" s="45" t="n">
        <f aca="false">IF(K$5=0,-Equity_Amount,0)</f>
        <v>0</v>
      </c>
      <c r="L49" s="45" t="n">
        <f aca="false">IF(L$5=0,-Equity_Amount,0)</f>
        <v>0</v>
      </c>
      <c r="M49" s="45" t="n">
        <f aca="false">IF(M$5=0,-Equity_Amount,0)</f>
        <v>0</v>
      </c>
      <c r="N49" s="45" t="n">
        <f aca="false">IF(N$5=0,-Equity_Amount,0)</f>
        <v>0</v>
      </c>
      <c r="O49" s="45" t="n">
        <f aca="false">IF(O$5=0,-Equity_Amount,0)</f>
        <v>0</v>
      </c>
      <c r="P49" s="45" t="n">
        <f aca="false">IF(P$5=0,-Equity_Amount,0)</f>
        <v>0</v>
      </c>
      <c r="Q49" s="45" t="n">
        <f aca="false">IF(Q$5=0,-Equity_Amount,0)</f>
        <v>0</v>
      </c>
      <c r="R49" s="45" t="n">
        <f aca="false">IF(R$5=0,-Equity_Amount,0)</f>
        <v>0</v>
      </c>
      <c r="S49" s="45" t="n">
        <f aca="false">IF(S$5=0,-Equity_Amount,0)</f>
        <v>0</v>
      </c>
      <c r="T49" s="45" t="n">
        <f aca="false">IF(T$5=0,-Equity_Amount,0)</f>
        <v>0</v>
      </c>
      <c r="U49" s="45" t="n">
        <f aca="false">IF(U$5=0,-Equity_Amount,0)</f>
        <v>0</v>
      </c>
      <c r="V49" s="45" t="n">
        <f aca="false">IF(V$5=0,-Equity_Amount,0)</f>
        <v>0</v>
      </c>
      <c r="W49" s="45" t="n">
        <f aca="false">IF(W$5=0,-Equity_Amount,0)</f>
        <v>0</v>
      </c>
      <c r="X49" s="45" t="n">
        <f aca="false">IF(X$5=0,-Equity_Amount,0)</f>
        <v>0</v>
      </c>
      <c r="Y49" s="45" t="n">
        <f aca="false">IF(Y$5=0,-Equity_Amount,0)</f>
        <v>0</v>
      </c>
      <c r="Z49" s="45" t="n">
        <f aca="false">IF(Z$5=0,-Equity_Amount,0)</f>
        <v>0</v>
      </c>
      <c r="AA49" s="45" t="n">
        <f aca="false">IF(AA$5=0,-Equity_Amount,0)</f>
        <v>0</v>
      </c>
      <c r="AB49" s="45" t="n">
        <f aca="false">IF(AB$5=0,-Equity_Amount,0)</f>
        <v>0</v>
      </c>
      <c r="AC49" s="45" t="n">
        <f aca="false">IF(AC$5=0,-Equity_Amount,0)</f>
        <v>0</v>
      </c>
      <c r="AD49" s="45" t="n">
        <f aca="false">IF(AD$5=0,-Equity_Amount,0)</f>
        <v>0</v>
      </c>
    </row>
    <row r="50" customFormat="false" ht="15" hidden="false" customHeight="false" outlineLevel="0" collapsed="false">
      <c r="B50" s="4" t="s">
        <v>181</v>
      </c>
      <c r="C50" s="24" t="s">
        <v>120</v>
      </c>
      <c r="D50" s="44" t="n">
        <f aca="false">SUM(E50:AD50)</f>
        <v>32586276.0603714</v>
      </c>
      <c r="F50" s="45" t="n">
        <f aca="false">F43-F44</f>
        <v>365157.760335991</v>
      </c>
      <c r="G50" s="45" t="n">
        <f aca="false">G43-G44</f>
        <v>450510.947835991</v>
      </c>
      <c r="H50" s="45" t="n">
        <f aca="false">H43-H44</f>
        <v>540105.847584428</v>
      </c>
      <c r="I50" s="45" t="n">
        <f aca="false">I43-I44</f>
        <v>634153.254972856</v>
      </c>
      <c r="J50" s="45" t="n">
        <f aca="false">J43-J44</f>
        <v>732874.441006175</v>
      </c>
      <c r="K50" s="45" t="n">
        <f aca="false">K43-K44</f>
        <v>836501.672893124</v>
      </c>
      <c r="L50" s="45" t="n">
        <f aca="false">L43-L44</f>
        <v>945278.760507684</v>
      </c>
      <c r="M50" s="45" t="n">
        <f aca="false">M43-M44</f>
        <v>1059461.63000701</v>
      </c>
      <c r="N50" s="45" t="n">
        <f aca="false">N43-N44</f>
        <v>820083.859566697</v>
      </c>
      <c r="O50" s="45" t="n">
        <f aca="false">O43-O44</f>
        <v>625273.820953275</v>
      </c>
      <c r="P50" s="45" t="n">
        <f aca="false">P43-P44</f>
        <v>2036364.95251882</v>
      </c>
      <c r="Q50" s="45" t="n">
        <f aca="false">Q43-Q44</f>
        <v>2137564.33967548</v>
      </c>
      <c r="R50" s="45" t="n">
        <f aca="false">R43-R44</f>
        <v>2243792.92335314</v>
      </c>
      <c r="S50" s="45" t="n">
        <f aca="false">S43-S44</f>
        <v>2355300.63319853</v>
      </c>
      <c r="T50" s="45" t="n">
        <f aca="false">T43-T44</f>
        <v>2472349.81925257</v>
      </c>
      <c r="U50" s="45" t="n">
        <f aca="false">U43-U44</f>
        <v>2595215.86918656</v>
      </c>
      <c r="V50" s="45" t="n">
        <f aca="false">V43-V44</f>
        <v>2724187.85621209</v>
      </c>
      <c r="W50" s="45" t="n">
        <f aca="false">W43-W44</f>
        <v>2859569.21918899</v>
      </c>
      <c r="X50" s="45" t="n">
        <f aca="false">X43-X44</f>
        <v>3001678.47653125</v>
      </c>
      <c r="Y50" s="45" t="n">
        <f aca="false">Y43-Y44</f>
        <v>3150849.97559075</v>
      </c>
      <c r="Z50" s="45" t="n">
        <f aca="false">Z43-Z44</f>
        <v>0</v>
      </c>
      <c r="AA50" s="45" t="n">
        <f aca="false">AA43-AA44</f>
        <v>0</v>
      </c>
      <c r="AB50" s="45" t="n">
        <f aca="false">AB43-AB44</f>
        <v>0</v>
      </c>
      <c r="AC50" s="45" t="n">
        <f aca="false">AC43-AC44</f>
        <v>0</v>
      </c>
      <c r="AD50" s="45" t="n">
        <f aca="false">AD43-AD44</f>
        <v>0</v>
      </c>
    </row>
    <row r="51" customFormat="false" ht="15" hidden="false" customHeight="false" outlineLevel="0" collapsed="false">
      <c r="B51" s="41" t="s">
        <v>182</v>
      </c>
      <c r="C51" s="42" t="s">
        <v>120</v>
      </c>
      <c r="D51" s="43" t="n">
        <f aca="false">SUM(E51:AD51)</f>
        <v>28386276.0603714</v>
      </c>
      <c r="E51" s="43" t="n">
        <f aca="false">E49</f>
        <v>-4200000</v>
      </c>
      <c r="F51" s="43" t="n">
        <f aca="false">F49+F50</f>
        <v>365157.760335991</v>
      </c>
      <c r="G51" s="43" t="n">
        <f aca="false">G49+G50</f>
        <v>450510.947835991</v>
      </c>
      <c r="H51" s="43" t="n">
        <f aca="false">H49+H50</f>
        <v>540105.847584428</v>
      </c>
      <c r="I51" s="43" t="n">
        <f aca="false">I49+I50</f>
        <v>634153.254972856</v>
      </c>
      <c r="J51" s="43" t="n">
        <f aca="false">J49+J50</f>
        <v>732874.441006175</v>
      </c>
      <c r="K51" s="43" t="n">
        <f aca="false">K49+K50</f>
        <v>836501.672893124</v>
      </c>
      <c r="L51" s="43" t="n">
        <f aca="false">L49+L50</f>
        <v>945278.760507684</v>
      </c>
      <c r="M51" s="43" t="n">
        <f aca="false">M49+M50</f>
        <v>1059461.63000701</v>
      </c>
      <c r="N51" s="43" t="n">
        <f aca="false">N49+N50</f>
        <v>820083.859566697</v>
      </c>
      <c r="O51" s="43" t="n">
        <f aca="false">O49+O50</f>
        <v>625273.820953275</v>
      </c>
      <c r="P51" s="43" t="n">
        <f aca="false">P49+P50</f>
        <v>2036364.95251882</v>
      </c>
      <c r="Q51" s="43" t="n">
        <f aca="false">Q49+Q50</f>
        <v>2137564.33967548</v>
      </c>
      <c r="R51" s="43" t="n">
        <f aca="false">R49+R50</f>
        <v>2243792.92335314</v>
      </c>
      <c r="S51" s="43" t="n">
        <f aca="false">S49+S50</f>
        <v>2355300.63319853</v>
      </c>
      <c r="T51" s="43" t="n">
        <f aca="false">T49+T50</f>
        <v>2472349.81925257</v>
      </c>
      <c r="U51" s="43" t="n">
        <f aca="false">U49+U50</f>
        <v>2595215.86918656</v>
      </c>
      <c r="V51" s="43" t="n">
        <f aca="false">V49+V50</f>
        <v>2724187.85621209</v>
      </c>
      <c r="W51" s="43" t="n">
        <f aca="false">W49+W50</f>
        <v>2859569.21918899</v>
      </c>
      <c r="X51" s="43" t="n">
        <f aca="false">X49+X50</f>
        <v>3001678.47653125</v>
      </c>
      <c r="Y51" s="43" t="n">
        <f aca="false">Y49+Y50</f>
        <v>3150849.97559075</v>
      </c>
      <c r="Z51" s="43" t="n">
        <f aca="false">Z49+Z50</f>
        <v>0</v>
      </c>
      <c r="AA51" s="43" t="n">
        <f aca="false">AA49+AA50</f>
        <v>0</v>
      </c>
      <c r="AB51" s="43" t="n">
        <f aca="false">AB49+AB50</f>
        <v>0</v>
      </c>
      <c r="AC51" s="43" t="n">
        <f aca="false">AC49+AC50</f>
        <v>0</v>
      </c>
      <c r="AD51" s="43" t="n">
        <f aca="false">AD49+AD50</f>
        <v>0</v>
      </c>
    </row>
    <row r="52" customFormat="false" ht="15" hidden="false" customHeight="false" outlineLevel="0" collapsed="false">
      <c r="B52" s="4" t="s">
        <v>183</v>
      </c>
      <c r="C52" s="24" t="s">
        <v>120</v>
      </c>
      <c r="E52" s="45" t="n">
        <f aca="false">SUM($E51:E51)</f>
        <v>-4200000</v>
      </c>
      <c r="F52" s="45" t="n">
        <f aca="false">SUM($E51:F51)</f>
        <v>-3834842.23966401</v>
      </c>
      <c r="G52" s="45" t="n">
        <f aca="false">SUM($E51:G51)</f>
        <v>-3384331.29182802</v>
      </c>
      <c r="H52" s="45" t="n">
        <f aca="false">SUM($E51:H51)</f>
        <v>-2844225.44424359</v>
      </c>
      <c r="I52" s="45" t="n">
        <f aca="false">SUM($E51:I51)</f>
        <v>-2210072.18927073</v>
      </c>
      <c r="J52" s="45" t="n">
        <f aca="false">SUM($E51:J51)</f>
        <v>-1477197.74826456</v>
      </c>
      <c r="K52" s="45" t="n">
        <f aca="false">SUM($E51:K51)</f>
        <v>-640696.075371435</v>
      </c>
      <c r="L52" s="45" t="n">
        <f aca="false">SUM($E51:L51)</f>
        <v>304582.685136249</v>
      </c>
      <c r="M52" s="45" t="n">
        <f aca="false">SUM($E51:M51)</f>
        <v>1364044.31514326</v>
      </c>
      <c r="N52" s="45" t="n">
        <f aca="false">SUM($E51:N51)</f>
        <v>2184128.17470995</v>
      </c>
      <c r="O52" s="45" t="n">
        <f aca="false">SUM($E51:O51)</f>
        <v>2809401.99566323</v>
      </c>
      <c r="P52" s="45" t="n">
        <f aca="false">SUM($E51:P51)</f>
        <v>4845766.94818205</v>
      </c>
      <c r="Q52" s="45" t="n">
        <f aca="false">SUM($E51:Q51)</f>
        <v>6983331.28785753</v>
      </c>
      <c r="R52" s="45" t="n">
        <f aca="false">SUM($E51:R51)</f>
        <v>9227124.21121066</v>
      </c>
      <c r="S52" s="45" t="n">
        <f aca="false">SUM($E51:S51)</f>
        <v>11582424.8444092</v>
      </c>
      <c r="T52" s="45" t="n">
        <f aca="false">SUM($E51:T51)</f>
        <v>14054774.6636618</v>
      </c>
      <c r="U52" s="45" t="n">
        <f aca="false">SUM($E51:U51)</f>
        <v>16649990.5328483</v>
      </c>
      <c r="V52" s="45" t="n">
        <f aca="false">SUM($E51:V51)</f>
        <v>19374178.3890604</v>
      </c>
      <c r="W52" s="45" t="n">
        <f aca="false">SUM($E51:W51)</f>
        <v>22233747.6082494</v>
      </c>
      <c r="X52" s="45" t="n">
        <f aca="false">SUM($E51:X51)</f>
        <v>25235426.0847806</v>
      </c>
      <c r="Y52" s="45" t="n">
        <f aca="false">SUM($E51:Y51)</f>
        <v>28386276.0603714</v>
      </c>
      <c r="Z52" s="45" t="n">
        <f aca="false">SUM($E51:Z51)</f>
        <v>28386276.0603714</v>
      </c>
      <c r="AA52" s="45" t="n">
        <f aca="false">SUM($E51:AA51)</f>
        <v>28386276.0603714</v>
      </c>
      <c r="AB52" s="45" t="n">
        <f aca="false">SUM($E51:AB51)</f>
        <v>28386276.0603714</v>
      </c>
      <c r="AC52" s="45" t="n">
        <f aca="false">SUM($E51:AC51)</f>
        <v>28386276.0603714</v>
      </c>
      <c r="AD52" s="45" t="n">
        <f aca="false">SUM($E51:AD51)</f>
        <v>28386276.0603714</v>
      </c>
    </row>
    <row r="53" customFormat="false" ht="15" hidden="false" customHeight="false" outlineLevel="0" collapsed="false">
      <c r="B53" s="4" t="s">
        <v>184</v>
      </c>
      <c r="C53" s="24" t="s">
        <v>147</v>
      </c>
      <c r="E53" s="37" t="n">
        <f aca="false">IF(E52&gt;=0,1,0)</f>
        <v>0</v>
      </c>
      <c r="F53" s="37" t="n">
        <f aca="false">IF(F52&gt;=0,1,0)</f>
        <v>0</v>
      </c>
      <c r="G53" s="37" t="n">
        <f aca="false">IF(G52&gt;=0,1,0)</f>
        <v>0</v>
      </c>
      <c r="H53" s="37" t="n">
        <f aca="false">IF(H52&gt;=0,1,0)</f>
        <v>0</v>
      </c>
      <c r="I53" s="37" t="n">
        <f aca="false">IF(I52&gt;=0,1,0)</f>
        <v>0</v>
      </c>
      <c r="J53" s="37" t="n">
        <f aca="false">IF(J52&gt;=0,1,0)</f>
        <v>0</v>
      </c>
      <c r="K53" s="37" t="n">
        <f aca="false">IF(K52&gt;=0,1,0)</f>
        <v>0</v>
      </c>
      <c r="L53" s="37" t="n">
        <f aca="false">IF(L52&gt;=0,1,0)</f>
        <v>1</v>
      </c>
      <c r="M53" s="37" t="n">
        <f aca="false">IF(M52&gt;=0,1,0)</f>
        <v>1</v>
      </c>
      <c r="N53" s="37" t="n">
        <f aca="false">IF(N52&gt;=0,1,0)</f>
        <v>1</v>
      </c>
      <c r="O53" s="37" t="n">
        <f aca="false">IF(O52&gt;=0,1,0)</f>
        <v>1</v>
      </c>
      <c r="P53" s="37" t="n">
        <f aca="false">IF(P52&gt;=0,1,0)</f>
        <v>1</v>
      </c>
      <c r="Q53" s="37" t="n">
        <f aca="false">IF(Q52&gt;=0,1,0)</f>
        <v>1</v>
      </c>
      <c r="R53" s="37" t="n">
        <f aca="false">IF(R52&gt;=0,1,0)</f>
        <v>1</v>
      </c>
      <c r="S53" s="37" t="n">
        <f aca="false">IF(S52&gt;=0,1,0)</f>
        <v>1</v>
      </c>
      <c r="T53" s="37" t="n">
        <f aca="false">IF(T52&gt;=0,1,0)</f>
        <v>1</v>
      </c>
      <c r="U53" s="37" t="n">
        <f aca="false">IF(U52&gt;=0,1,0)</f>
        <v>1</v>
      </c>
      <c r="V53" s="37" t="n">
        <f aca="false">IF(V52&gt;=0,1,0)</f>
        <v>1</v>
      </c>
      <c r="W53" s="37" t="n">
        <f aca="false">IF(W52&gt;=0,1,0)</f>
        <v>1</v>
      </c>
      <c r="X53" s="37" t="n">
        <f aca="false">IF(X52&gt;=0,1,0)</f>
        <v>1</v>
      </c>
      <c r="Y53" s="37" t="n">
        <f aca="false">IF(Y52&gt;=0,1,0)</f>
        <v>1</v>
      </c>
      <c r="Z53" s="37" t="n">
        <f aca="false">IF(Z52&gt;=0,1,0)</f>
        <v>1</v>
      </c>
      <c r="AA53" s="37" t="n">
        <f aca="false">IF(AA52&gt;=0,1,0)</f>
        <v>1</v>
      </c>
      <c r="AB53" s="37" t="n">
        <f aca="false">IF(AB52&gt;=0,1,0)</f>
        <v>1</v>
      </c>
      <c r="AC53" s="37" t="n">
        <f aca="false">IF(AC52&gt;=0,1,0)</f>
        <v>1</v>
      </c>
      <c r="AD53" s="37" t="n">
        <f aca="false">IF(AD52&gt;=0,1,0)</f>
        <v>1</v>
      </c>
    </row>
    <row r="55" customFormat="false" ht="15" hidden="false" customHeight="false" outlineLevel="0" collapsed="false">
      <c r="B55" s="21" t="s">
        <v>185</v>
      </c>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row>
    <row r="56" customFormat="false" ht="15" hidden="false" customHeight="false" outlineLevel="0" collapsed="false">
      <c r="B56" s="4" t="s">
        <v>155</v>
      </c>
      <c r="C56" s="24" t="s">
        <v>120</v>
      </c>
      <c r="D56" s="44" t="n">
        <f aca="false">SUM(E56:AD56)</f>
        <v>56608732.0683817</v>
      </c>
      <c r="F56" s="45" t="n">
        <f aca="false">F16</f>
        <v>1717500</v>
      </c>
      <c r="G56" s="45" t="n">
        <f aca="false">G16</f>
        <v>1802853.1875</v>
      </c>
      <c r="H56" s="45" t="n">
        <f aca="false">H16</f>
        <v>1892448.08724844</v>
      </c>
      <c r="I56" s="45" t="n">
        <f aca="false">I16</f>
        <v>1986495.49463687</v>
      </c>
      <c r="J56" s="45" t="n">
        <f aca="false">J16</f>
        <v>2085216.68067018</v>
      </c>
      <c r="K56" s="45" t="n">
        <f aca="false">K16</f>
        <v>2188843.91255713</v>
      </c>
      <c r="L56" s="45" t="n">
        <f aca="false">L16</f>
        <v>2297621.00017169</v>
      </c>
      <c r="M56" s="45" t="n">
        <f aca="false">M16</f>
        <v>2411803.86967102</v>
      </c>
      <c r="N56" s="45" t="n">
        <f aca="false">N16</f>
        <v>2531661.16561949</v>
      </c>
      <c r="O56" s="45" t="n">
        <f aca="false">O16</f>
        <v>2657474.88303545</v>
      </c>
      <c r="P56" s="45" t="n">
        <f aca="false">P16</f>
        <v>2789541.0308477</v>
      </c>
      <c r="Q56" s="45" t="n">
        <f aca="false">Q16</f>
        <v>2928170.32832257</v>
      </c>
      <c r="R56" s="45" t="n">
        <f aca="false">R16</f>
        <v>3073688.93610019</v>
      </c>
      <c r="S56" s="45" t="n">
        <f aca="false">S16</f>
        <v>3226439.22355963</v>
      </c>
      <c r="T56" s="45" t="n">
        <f aca="false">T16</f>
        <v>3386780.57431859</v>
      </c>
      <c r="U56" s="45" t="n">
        <f aca="false">U16</f>
        <v>3555090.23176241</v>
      </c>
      <c r="V56" s="45" t="n">
        <f aca="false">V16</f>
        <v>3731764.18659191</v>
      </c>
      <c r="W56" s="45" t="n">
        <f aca="false">W16</f>
        <v>3917218.10847807</v>
      </c>
      <c r="X56" s="45" t="n">
        <f aca="false">X16</f>
        <v>4111888.32401541</v>
      </c>
      <c r="Y56" s="45" t="n">
        <f aca="false">Y16</f>
        <v>4316232.84327501</v>
      </c>
      <c r="Z56" s="45" t="n">
        <f aca="false">Z16</f>
        <v>0</v>
      </c>
      <c r="AA56" s="45" t="n">
        <f aca="false">AA16</f>
        <v>0</v>
      </c>
      <c r="AB56" s="45" t="n">
        <f aca="false">AB16</f>
        <v>0</v>
      </c>
      <c r="AC56" s="45" t="n">
        <f aca="false">AC16</f>
        <v>0</v>
      </c>
      <c r="AD56" s="45" t="n">
        <f aca="false">AD16</f>
        <v>0</v>
      </c>
    </row>
    <row r="57" customFormat="false" ht="15" hidden="false" customHeight="false" outlineLevel="0" collapsed="false">
      <c r="B57" s="4" t="s">
        <v>168</v>
      </c>
      <c r="C57" s="24" t="s">
        <v>120</v>
      </c>
      <c r="D57" s="44" t="n">
        <f aca="false">SUM(E57:AD57)</f>
        <v>-12000000</v>
      </c>
      <c r="F57" s="45" t="n">
        <f aca="false">-F20</f>
        <v>-12000000</v>
      </c>
      <c r="G57" s="45" t="n">
        <f aca="false">-G20</f>
        <v>-0</v>
      </c>
      <c r="H57" s="45" t="n">
        <f aca="false">-H20</f>
        <v>-0</v>
      </c>
      <c r="I57" s="45" t="n">
        <f aca="false">-I20</f>
        <v>-0</v>
      </c>
      <c r="J57" s="45" t="n">
        <f aca="false">-J20</f>
        <v>-0</v>
      </c>
      <c r="K57" s="45" t="n">
        <f aca="false">-K20</f>
        <v>-0</v>
      </c>
      <c r="L57" s="45" t="n">
        <f aca="false">-L20</f>
        <v>-0</v>
      </c>
      <c r="M57" s="45" t="n">
        <f aca="false">-M20</f>
        <v>-0</v>
      </c>
      <c r="N57" s="45" t="n">
        <f aca="false">-N20</f>
        <v>-0</v>
      </c>
      <c r="O57" s="45" t="n">
        <f aca="false">-O20</f>
        <v>-0</v>
      </c>
      <c r="P57" s="45" t="n">
        <f aca="false">-P20</f>
        <v>-0</v>
      </c>
      <c r="Q57" s="45" t="n">
        <f aca="false">-Q20</f>
        <v>-0</v>
      </c>
      <c r="R57" s="45" t="n">
        <f aca="false">-R20</f>
        <v>-0</v>
      </c>
      <c r="S57" s="45" t="n">
        <f aca="false">-S20</f>
        <v>-0</v>
      </c>
      <c r="T57" s="45" t="n">
        <f aca="false">-T20</f>
        <v>-0</v>
      </c>
      <c r="U57" s="45" t="n">
        <f aca="false">-U20</f>
        <v>-0</v>
      </c>
      <c r="V57" s="45" t="n">
        <f aca="false">-V20</f>
        <v>-0</v>
      </c>
      <c r="W57" s="45" t="n">
        <f aca="false">-W20</f>
        <v>-0</v>
      </c>
      <c r="X57" s="45" t="n">
        <f aca="false">-X20</f>
        <v>-0</v>
      </c>
      <c r="Y57" s="45" t="n">
        <f aca="false">-Y20</f>
        <v>-0</v>
      </c>
      <c r="Z57" s="45" t="n">
        <f aca="false">-Z20</f>
        <v>-0</v>
      </c>
      <c r="AA57" s="45" t="n">
        <f aca="false">-AA20</f>
        <v>-0</v>
      </c>
      <c r="AB57" s="45" t="n">
        <f aca="false">-AB20</f>
        <v>-0</v>
      </c>
      <c r="AC57" s="45" t="n">
        <f aca="false">-AC20</f>
        <v>-0</v>
      </c>
      <c r="AD57" s="45" t="n">
        <f aca="false">-AD20</f>
        <v>-0</v>
      </c>
    </row>
    <row r="58" customFormat="false" ht="15" hidden="false" customHeight="false" outlineLevel="0" collapsed="false">
      <c r="B58" s="47" t="s">
        <v>186</v>
      </c>
      <c r="C58" s="42" t="s">
        <v>120</v>
      </c>
      <c r="D58" s="43" t="n">
        <f aca="false">SUM(E58:AD58)</f>
        <v>44608732.0683817</v>
      </c>
      <c r="F58" s="48" t="n">
        <f aca="false">F56+F57</f>
        <v>-10282500</v>
      </c>
      <c r="G58" s="48" t="n">
        <f aca="false">G56+G57</f>
        <v>1802853.1875</v>
      </c>
      <c r="H58" s="48" t="n">
        <f aca="false">H56+H57</f>
        <v>1892448.08724844</v>
      </c>
      <c r="I58" s="48" t="n">
        <f aca="false">I56+I57</f>
        <v>1986495.49463687</v>
      </c>
      <c r="J58" s="48" t="n">
        <f aca="false">J56+J57</f>
        <v>2085216.68067018</v>
      </c>
      <c r="K58" s="48" t="n">
        <f aca="false">K56+K57</f>
        <v>2188843.91255713</v>
      </c>
      <c r="L58" s="48" t="n">
        <f aca="false">L56+L57</f>
        <v>2297621.00017169</v>
      </c>
      <c r="M58" s="48" t="n">
        <f aca="false">M56+M57</f>
        <v>2411803.86967102</v>
      </c>
      <c r="N58" s="48" t="n">
        <f aca="false">N56+N57</f>
        <v>2531661.16561949</v>
      </c>
      <c r="O58" s="48" t="n">
        <f aca="false">O56+O57</f>
        <v>2657474.88303545</v>
      </c>
      <c r="P58" s="48" t="n">
        <f aca="false">P56+P57</f>
        <v>2789541.0308477</v>
      </c>
      <c r="Q58" s="48" t="n">
        <f aca="false">Q56+Q57</f>
        <v>2928170.32832257</v>
      </c>
      <c r="R58" s="48" t="n">
        <f aca="false">R56+R57</f>
        <v>3073688.93610019</v>
      </c>
      <c r="S58" s="48" t="n">
        <f aca="false">S56+S57</f>
        <v>3226439.22355963</v>
      </c>
      <c r="T58" s="48" t="n">
        <f aca="false">T56+T57</f>
        <v>3386780.57431859</v>
      </c>
      <c r="U58" s="48" t="n">
        <f aca="false">U56+U57</f>
        <v>3555090.23176241</v>
      </c>
      <c r="V58" s="48" t="n">
        <f aca="false">V56+V57</f>
        <v>3731764.18659191</v>
      </c>
      <c r="W58" s="48" t="n">
        <f aca="false">W56+W57</f>
        <v>3917218.10847807</v>
      </c>
      <c r="X58" s="48" t="n">
        <f aca="false">X56+X57</f>
        <v>4111888.32401541</v>
      </c>
      <c r="Y58" s="48" t="n">
        <f aca="false">Y56+Y57</f>
        <v>4316232.84327501</v>
      </c>
      <c r="Z58" s="48" t="n">
        <f aca="false">Z56+Z57</f>
        <v>0</v>
      </c>
      <c r="AA58" s="48" t="n">
        <f aca="false">AA56+AA57</f>
        <v>0</v>
      </c>
      <c r="AB58" s="48" t="n">
        <f aca="false">AB56+AB57</f>
        <v>0</v>
      </c>
      <c r="AC58" s="48" t="n">
        <f aca="false">AC56+AC57</f>
        <v>0</v>
      </c>
      <c r="AD58" s="48" t="n">
        <f aca="false">AD56+AD57</f>
        <v>0</v>
      </c>
    </row>
    <row r="59" customFormat="false" ht="15" hidden="false" customHeight="false" outlineLevel="0" collapsed="false">
      <c r="B59" s="4" t="s">
        <v>170</v>
      </c>
      <c r="C59" s="24" t="s">
        <v>120</v>
      </c>
      <c r="F59" s="45" t="n">
        <f aca="false">E61</f>
        <v>0</v>
      </c>
      <c r="G59" s="45" t="n">
        <f aca="false">F61</f>
        <v>10282500</v>
      </c>
      <c r="H59" s="45" t="n">
        <f aca="false">G61</f>
        <v>8479646.8125</v>
      </c>
      <c r="I59" s="45" t="n">
        <f aca="false">H61</f>
        <v>6587198.72525156</v>
      </c>
      <c r="J59" s="45" t="n">
        <f aca="false">I61</f>
        <v>4600703.2306147</v>
      </c>
      <c r="K59" s="45" t="n">
        <f aca="false">J61</f>
        <v>2515486.54994451</v>
      </c>
      <c r="L59" s="45" t="n">
        <f aca="false">K61</f>
        <v>326642.63738738</v>
      </c>
      <c r="M59" s="45" t="n">
        <f aca="false">L61</f>
        <v>0</v>
      </c>
      <c r="N59" s="45" t="n">
        <f aca="false">M61</f>
        <v>0</v>
      </c>
      <c r="O59" s="45" t="n">
        <f aca="false">N61</f>
        <v>0</v>
      </c>
      <c r="P59" s="45" t="n">
        <f aca="false">O61</f>
        <v>0</v>
      </c>
      <c r="Q59" s="45" t="n">
        <f aca="false">P61</f>
        <v>0</v>
      </c>
      <c r="R59" s="45" t="n">
        <f aca="false">Q61</f>
        <v>0</v>
      </c>
      <c r="S59" s="45" t="n">
        <f aca="false">R61</f>
        <v>0</v>
      </c>
      <c r="T59" s="45" t="n">
        <f aca="false">S61</f>
        <v>0</v>
      </c>
      <c r="U59" s="45" t="n">
        <f aca="false">T61</f>
        <v>0</v>
      </c>
      <c r="V59" s="45" t="n">
        <f aca="false">U61</f>
        <v>0</v>
      </c>
      <c r="W59" s="45" t="n">
        <f aca="false">V61</f>
        <v>0</v>
      </c>
      <c r="X59" s="45" t="n">
        <f aca="false">W61</f>
        <v>0</v>
      </c>
      <c r="Y59" s="45" t="n">
        <f aca="false">X61</f>
        <v>0</v>
      </c>
      <c r="Z59" s="45" t="n">
        <f aca="false">Y61</f>
        <v>0</v>
      </c>
      <c r="AA59" s="45" t="n">
        <f aca="false">Z61</f>
        <v>0</v>
      </c>
      <c r="AB59" s="45" t="n">
        <f aca="false">AA61</f>
        <v>0</v>
      </c>
      <c r="AC59" s="45" t="n">
        <f aca="false">AB61</f>
        <v>0</v>
      </c>
      <c r="AD59" s="45" t="n">
        <f aca="false">AC61</f>
        <v>0</v>
      </c>
    </row>
    <row r="60" customFormat="false" ht="15" hidden="false" customHeight="false" outlineLevel="0" collapsed="false">
      <c r="B60" s="4" t="s">
        <v>171</v>
      </c>
      <c r="C60" s="24" t="s">
        <v>120</v>
      </c>
      <c r="D60" s="44" t="n">
        <f aca="false">SUM(E60:AD60)</f>
        <v>44608732.0683817</v>
      </c>
      <c r="F60" s="45" t="n">
        <f aca="false">MAX(0,F58-F59)</f>
        <v>0</v>
      </c>
      <c r="G60" s="45" t="n">
        <f aca="false">MAX(0,G58-G59)</f>
        <v>0</v>
      </c>
      <c r="H60" s="45" t="n">
        <f aca="false">MAX(0,H58-H59)</f>
        <v>0</v>
      </c>
      <c r="I60" s="45" t="n">
        <f aca="false">MAX(0,I58-I59)</f>
        <v>0</v>
      </c>
      <c r="J60" s="45" t="n">
        <f aca="false">MAX(0,J58-J59)</f>
        <v>0</v>
      </c>
      <c r="K60" s="45" t="n">
        <f aca="false">MAX(0,K58-K59)</f>
        <v>0</v>
      </c>
      <c r="L60" s="45" t="n">
        <f aca="false">MAX(0,L58-L59)</f>
        <v>1970978.36278431</v>
      </c>
      <c r="M60" s="45" t="n">
        <f aca="false">MAX(0,M58-M59)</f>
        <v>2411803.86967102</v>
      </c>
      <c r="N60" s="45" t="n">
        <f aca="false">MAX(0,N58-N59)</f>
        <v>2531661.16561949</v>
      </c>
      <c r="O60" s="45" t="n">
        <f aca="false">MAX(0,O58-O59)</f>
        <v>2657474.88303545</v>
      </c>
      <c r="P60" s="45" t="n">
        <f aca="false">MAX(0,P58-P59)</f>
        <v>2789541.0308477</v>
      </c>
      <c r="Q60" s="45" t="n">
        <f aca="false">MAX(0,Q58-Q59)</f>
        <v>2928170.32832257</v>
      </c>
      <c r="R60" s="45" t="n">
        <f aca="false">MAX(0,R58-R59)</f>
        <v>3073688.93610019</v>
      </c>
      <c r="S60" s="45" t="n">
        <f aca="false">MAX(0,S58-S59)</f>
        <v>3226439.22355963</v>
      </c>
      <c r="T60" s="45" t="n">
        <f aca="false">MAX(0,T58-T59)</f>
        <v>3386780.57431859</v>
      </c>
      <c r="U60" s="45" t="n">
        <f aca="false">MAX(0,U58-U59)</f>
        <v>3555090.23176241</v>
      </c>
      <c r="V60" s="45" t="n">
        <f aca="false">MAX(0,V58-V59)</f>
        <v>3731764.18659191</v>
      </c>
      <c r="W60" s="45" t="n">
        <f aca="false">MAX(0,W58-W59)</f>
        <v>3917218.10847807</v>
      </c>
      <c r="X60" s="45" t="n">
        <f aca="false">MAX(0,X58-X59)</f>
        <v>4111888.32401541</v>
      </c>
      <c r="Y60" s="45" t="n">
        <f aca="false">MAX(0,Y58-Y59)</f>
        <v>4316232.84327501</v>
      </c>
      <c r="Z60" s="45" t="n">
        <f aca="false">MAX(0,Z58-Z59)</f>
        <v>0</v>
      </c>
      <c r="AA60" s="45" t="n">
        <f aca="false">MAX(0,AA58-AA59)</f>
        <v>0</v>
      </c>
      <c r="AB60" s="45" t="n">
        <f aca="false">MAX(0,AB58-AB59)</f>
        <v>0</v>
      </c>
      <c r="AC60" s="45" t="n">
        <f aca="false">MAX(0,AC58-AC59)</f>
        <v>0</v>
      </c>
      <c r="AD60" s="45" t="n">
        <f aca="false">MAX(0,AD58-AD59)</f>
        <v>0</v>
      </c>
    </row>
    <row r="61" customFormat="false" ht="15" hidden="false" customHeight="false" outlineLevel="0" collapsed="false">
      <c r="B61" s="4" t="s">
        <v>172</v>
      </c>
      <c r="C61" s="24" t="s">
        <v>120</v>
      </c>
      <c r="F61" s="45" t="n">
        <f aca="false">MAX(0,F59-F58)</f>
        <v>10282500</v>
      </c>
      <c r="G61" s="45" t="n">
        <f aca="false">MAX(0,G59-G58)</f>
        <v>8479646.8125</v>
      </c>
      <c r="H61" s="45" t="n">
        <f aca="false">MAX(0,H59-H58)</f>
        <v>6587198.72525156</v>
      </c>
      <c r="I61" s="45" t="n">
        <f aca="false">MAX(0,I59-I58)</f>
        <v>4600703.2306147</v>
      </c>
      <c r="J61" s="45" t="n">
        <f aca="false">MAX(0,J59-J58)</f>
        <v>2515486.54994451</v>
      </c>
      <c r="K61" s="45" t="n">
        <f aca="false">MAX(0,K59-K58)</f>
        <v>326642.63738738</v>
      </c>
      <c r="L61" s="45" t="n">
        <f aca="false">MAX(0,L59-L58)</f>
        <v>0</v>
      </c>
      <c r="M61" s="45" t="n">
        <f aca="false">MAX(0,M59-M58)</f>
        <v>0</v>
      </c>
      <c r="N61" s="45" t="n">
        <f aca="false">MAX(0,N59-N58)</f>
        <v>0</v>
      </c>
      <c r="O61" s="45" t="n">
        <f aca="false">MAX(0,O59-O58)</f>
        <v>0</v>
      </c>
      <c r="P61" s="45" t="n">
        <f aca="false">MAX(0,P59-P58)</f>
        <v>0</v>
      </c>
      <c r="Q61" s="45" t="n">
        <f aca="false">MAX(0,Q59-Q58)</f>
        <v>0</v>
      </c>
      <c r="R61" s="45" t="n">
        <f aca="false">MAX(0,R59-R58)</f>
        <v>0</v>
      </c>
      <c r="S61" s="45" t="n">
        <f aca="false">MAX(0,S59-S58)</f>
        <v>0</v>
      </c>
      <c r="T61" s="45" t="n">
        <f aca="false">MAX(0,T59-T58)</f>
        <v>0</v>
      </c>
      <c r="U61" s="45" t="n">
        <f aca="false">MAX(0,U59-U58)</f>
        <v>0</v>
      </c>
      <c r="V61" s="45" t="n">
        <f aca="false">MAX(0,V59-V58)</f>
        <v>0</v>
      </c>
      <c r="W61" s="45" t="n">
        <f aca="false">MAX(0,W59-W58)</f>
        <v>0</v>
      </c>
      <c r="X61" s="45" t="n">
        <f aca="false">MAX(0,X59-X58)</f>
        <v>0</v>
      </c>
      <c r="Y61" s="45" t="n">
        <f aca="false">MAX(0,Y59-Y58)</f>
        <v>0</v>
      </c>
      <c r="Z61" s="45" t="n">
        <f aca="false">MAX(0,Z59-Z58)</f>
        <v>0</v>
      </c>
      <c r="AA61" s="45" t="n">
        <f aca="false">MAX(0,AA59-AA58)</f>
        <v>0</v>
      </c>
      <c r="AB61" s="45" t="n">
        <f aca="false">MAX(0,AB59-AB58)</f>
        <v>0</v>
      </c>
      <c r="AC61" s="45" t="n">
        <f aca="false">MAX(0,AC59-AC58)</f>
        <v>0</v>
      </c>
      <c r="AD61" s="45" t="n">
        <f aca="false">MAX(0,AD59-AD58)</f>
        <v>0</v>
      </c>
    </row>
    <row r="62" customFormat="false" ht="15" hidden="false" customHeight="false" outlineLevel="0" collapsed="false">
      <c r="B62" s="47" t="s">
        <v>187</v>
      </c>
      <c r="C62" s="42" t="s">
        <v>120</v>
      </c>
      <c r="D62" s="43" t="n">
        <f aca="false">SUM(E62:AD62)</f>
        <v>12044357.6584631</v>
      </c>
      <c r="F62" s="48" t="n">
        <f aca="false">Tax_Rate*F60</f>
        <v>0</v>
      </c>
      <c r="G62" s="48" t="n">
        <f aca="false">Tax_Rate*G60</f>
        <v>0</v>
      </c>
      <c r="H62" s="48" t="n">
        <f aca="false">Tax_Rate*H60</f>
        <v>0</v>
      </c>
      <c r="I62" s="48" t="n">
        <f aca="false">Tax_Rate*I60</f>
        <v>0</v>
      </c>
      <c r="J62" s="48" t="n">
        <f aca="false">Tax_Rate*J60</f>
        <v>0</v>
      </c>
      <c r="K62" s="48" t="n">
        <f aca="false">Tax_Rate*K60</f>
        <v>0</v>
      </c>
      <c r="L62" s="48" t="n">
        <f aca="false">Tax_Rate*L60</f>
        <v>532164.157951764</v>
      </c>
      <c r="M62" s="48" t="n">
        <f aca="false">Tax_Rate*M60</f>
        <v>651187.044811175</v>
      </c>
      <c r="N62" s="48" t="n">
        <f aca="false">Tax_Rate*N60</f>
        <v>683548.514717262</v>
      </c>
      <c r="O62" s="48" t="n">
        <f aca="false">Tax_Rate*O60</f>
        <v>717518.218419571</v>
      </c>
      <c r="P62" s="48" t="n">
        <f aca="false">Tax_Rate*P60</f>
        <v>753176.078328878</v>
      </c>
      <c r="Q62" s="48" t="n">
        <f aca="false">Tax_Rate*Q60</f>
        <v>790605.988647095</v>
      </c>
      <c r="R62" s="48" t="n">
        <f aca="false">Tax_Rate*R60</f>
        <v>829896.01274705</v>
      </c>
      <c r="S62" s="48" t="n">
        <f aca="false">Tax_Rate*S60</f>
        <v>871138.5903611</v>
      </c>
      <c r="T62" s="48" t="n">
        <f aca="false">Tax_Rate*T60</f>
        <v>914430.755066018</v>
      </c>
      <c r="U62" s="48" t="n">
        <f aca="false">Tax_Rate*U60</f>
        <v>959874.36257585</v>
      </c>
      <c r="V62" s="48" t="n">
        <f aca="false">Tax_Rate*V60</f>
        <v>1007576.33037982</v>
      </c>
      <c r="W62" s="48" t="n">
        <f aca="false">Tax_Rate*W60</f>
        <v>1057648.88928908</v>
      </c>
      <c r="X62" s="48" t="n">
        <f aca="false">Tax_Rate*X60</f>
        <v>1110209.84748416</v>
      </c>
      <c r="Y62" s="48" t="n">
        <f aca="false">Tax_Rate*Y60</f>
        <v>1165382.86768425</v>
      </c>
      <c r="Z62" s="48" t="n">
        <f aca="false">Tax_Rate*Z60</f>
        <v>0</v>
      </c>
      <c r="AA62" s="48" t="n">
        <f aca="false">Tax_Rate*AA60</f>
        <v>0</v>
      </c>
      <c r="AB62" s="48" t="n">
        <f aca="false">Tax_Rate*AB60</f>
        <v>0</v>
      </c>
      <c r="AC62" s="48" t="n">
        <f aca="false">Tax_Rate*AC60</f>
        <v>0</v>
      </c>
      <c r="AD62" s="48" t="n">
        <f aca="false">Tax_Rate*AD60</f>
        <v>0</v>
      </c>
    </row>
    <row r="63" customFormat="false" ht="15" hidden="false" customHeight="false" outlineLevel="0" collapsed="false">
      <c r="B63" s="4" t="s">
        <v>157</v>
      </c>
      <c r="C63" s="24" t="s">
        <v>120</v>
      </c>
      <c r="D63" s="44" t="n">
        <f aca="false">SUM(E63:AD63)</f>
        <v>-12000000</v>
      </c>
      <c r="E63" s="45" t="n">
        <f aca="false">-E19</f>
        <v>-12000000</v>
      </c>
      <c r="F63" s="45" t="n">
        <f aca="false">-F19</f>
        <v>-0</v>
      </c>
      <c r="G63" s="45" t="n">
        <f aca="false">-G19</f>
        <v>-0</v>
      </c>
      <c r="H63" s="45" t="n">
        <f aca="false">-H19</f>
        <v>-0</v>
      </c>
      <c r="I63" s="45" t="n">
        <f aca="false">-I19</f>
        <v>-0</v>
      </c>
      <c r="J63" s="45" t="n">
        <f aca="false">-J19</f>
        <v>-0</v>
      </c>
      <c r="K63" s="45" t="n">
        <f aca="false">-K19</f>
        <v>-0</v>
      </c>
      <c r="L63" s="45" t="n">
        <f aca="false">-L19</f>
        <v>-0</v>
      </c>
      <c r="M63" s="45" t="n">
        <f aca="false">-M19</f>
        <v>-0</v>
      </c>
      <c r="N63" s="45" t="n">
        <f aca="false">-N19</f>
        <v>-0</v>
      </c>
      <c r="O63" s="45" t="n">
        <f aca="false">-O19</f>
        <v>-0</v>
      </c>
      <c r="P63" s="45" t="n">
        <f aca="false">-P19</f>
        <v>-0</v>
      </c>
      <c r="Q63" s="45" t="n">
        <f aca="false">-Q19</f>
        <v>-0</v>
      </c>
      <c r="R63" s="45" t="n">
        <f aca="false">-R19</f>
        <v>-0</v>
      </c>
      <c r="S63" s="45" t="n">
        <f aca="false">-S19</f>
        <v>-0</v>
      </c>
      <c r="T63" s="45" t="n">
        <f aca="false">-T19</f>
        <v>-0</v>
      </c>
      <c r="U63" s="45" t="n">
        <f aca="false">-U19</f>
        <v>-0</v>
      </c>
      <c r="V63" s="45" t="n">
        <f aca="false">-V19</f>
        <v>-0</v>
      </c>
      <c r="W63" s="45" t="n">
        <f aca="false">-W19</f>
        <v>-0</v>
      </c>
      <c r="X63" s="45" t="n">
        <f aca="false">-X19</f>
        <v>-0</v>
      </c>
      <c r="Y63" s="45" t="n">
        <f aca="false">-Y19</f>
        <v>-0</v>
      </c>
      <c r="Z63" s="45" t="n">
        <f aca="false">-Z19</f>
        <v>-0</v>
      </c>
      <c r="AA63" s="45" t="n">
        <f aca="false">-AA19</f>
        <v>-0</v>
      </c>
      <c r="AB63" s="45" t="n">
        <f aca="false">-AB19</f>
        <v>-0</v>
      </c>
      <c r="AC63" s="45" t="n">
        <f aca="false">-AC19</f>
        <v>-0</v>
      </c>
      <c r="AD63" s="45" t="n">
        <f aca="false">-AD19</f>
        <v>-0</v>
      </c>
    </row>
    <row r="64" customFormat="false" ht="15" hidden="false" customHeight="false" outlineLevel="0" collapsed="false">
      <c r="B64" s="41" t="s">
        <v>188</v>
      </c>
      <c r="C64" s="42" t="s">
        <v>120</v>
      </c>
      <c r="D64" s="43" t="n">
        <f aca="false">SUM(E64:AD64)</f>
        <v>32564374.4099187</v>
      </c>
      <c r="E64" s="43" t="n">
        <f aca="false">E63</f>
        <v>-12000000</v>
      </c>
      <c r="F64" s="43" t="n">
        <f aca="false">F63+F56-F62</f>
        <v>1717500</v>
      </c>
      <c r="G64" s="43" t="n">
        <f aca="false">G63+G56-G62</f>
        <v>1802853.1875</v>
      </c>
      <c r="H64" s="43" t="n">
        <f aca="false">H63+H56-H62</f>
        <v>1892448.08724844</v>
      </c>
      <c r="I64" s="43" t="n">
        <f aca="false">I63+I56-I62</f>
        <v>1986495.49463687</v>
      </c>
      <c r="J64" s="43" t="n">
        <f aca="false">J63+J56-J62</f>
        <v>2085216.68067018</v>
      </c>
      <c r="K64" s="43" t="n">
        <f aca="false">K63+K56-K62</f>
        <v>2188843.91255713</v>
      </c>
      <c r="L64" s="43" t="n">
        <f aca="false">L63+L56-L62</f>
        <v>1765456.84221993</v>
      </c>
      <c r="M64" s="43" t="n">
        <f aca="false">M63+M56-M62</f>
        <v>1760616.82485984</v>
      </c>
      <c r="N64" s="43" t="n">
        <f aca="false">N63+N56-N62</f>
        <v>1848112.65090223</v>
      </c>
      <c r="O64" s="43" t="n">
        <f aca="false">O63+O56-O62</f>
        <v>1939956.66461588</v>
      </c>
      <c r="P64" s="43" t="n">
        <f aca="false">P63+P56-P62</f>
        <v>2036364.95251882</v>
      </c>
      <c r="Q64" s="43" t="n">
        <f aca="false">Q63+Q56-Q62</f>
        <v>2137564.33967548</v>
      </c>
      <c r="R64" s="43" t="n">
        <f aca="false">R63+R56-R62</f>
        <v>2243792.92335314</v>
      </c>
      <c r="S64" s="43" t="n">
        <f aca="false">S63+S56-S62</f>
        <v>2355300.63319853</v>
      </c>
      <c r="T64" s="43" t="n">
        <f aca="false">T63+T56-T62</f>
        <v>2472349.81925257</v>
      </c>
      <c r="U64" s="43" t="n">
        <f aca="false">U63+U56-U62</f>
        <v>2595215.86918656</v>
      </c>
      <c r="V64" s="43" t="n">
        <f aca="false">V63+V56-V62</f>
        <v>2724187.85621209</v>
      </c>
      <c r="W64" s="43" t="n">
        <f aca="false">W63+W56-W62</f>
        <v>2859569.21918899</v>
      </c>
      <c r="X64" s="43" t="n">
        <f aca="false">X63+X56-X62</f>
        <v>3001678.47653125</v>
      </c>
      <c r="Y64" s="43" t="n">
        <f aca="false">Y63+Y56-Y62</f>
        <v>3150849.97559075</v>
      </c>
      <c r="Z64" s="43" t="n">
        <f aca="false">Z63+Z56-Z62</f>
        <v>0</v>
      </c>
      <c r="AA64" s="43" t="n">
        <f aca="false">AA63+AA56-AA62</f>
        <v>0</v>
      </c>
      <c r="AB64" s="43" t="n">
        <f aca="false">AB63+AB56-AB62</f>
        <v>0</v>
      </c>
      <c r="AC64" s="43" t="n">
        <f aca="false">AC63+AC56-AC62</f>
        <v>0</v>
      </c>
      <c r="AD64" s="43" t="n">
        <f aca="false">AD63+AD56-AD62</f>
        <v>0</v>
      </c>
    </row>
    <row r="66" customFormat="false" ht="15" hidden="false" customHeight="false" outlineLevel="0" collapsed="false">
      <c r="B66" s="21" t="s">
        <v>189</v>
      </c>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row>
    <row r="67" customFormat="false" ht="15" hidden="false" customHeight="false" outlineLevel="0" collapsed="false">
      <c r="B67" s="4" t="s">
        <v>190</v>
      </c>
      <c r="C67" s="24" t="s">
        <v>191</v>
      </c>
      <c r="E67" s="51" t="n">
        <f aca="false">1/(1+LCOE_Discount_Rate)^E$5</f>
        <v>1</v>
      </c>
      <c r="F67" s="51" t="n">
        <f aca="false">1/(1+LCOE_Discount_Rate)^F$5</f>
        <v>0.909090909090909</v>
      </c>
      <c r="G67" s="51" t="n">
        <f aca="false">1/(1+LCOE_Discount_Rate)^G$5</f>
        <v>0.826446280991735</v>
      </c>
      <c r="H67" s="51" t="n">
        <f aca="false">1/(1+LCOE_Discount_Rate)^H$5</f>
        <v>0.751314800901578</v>
      </c>
      <c r="I67" s="51" t="n">
        <f aca="false">1/(1+LCOE_Discount_Rate)^I$5</f>
        <v>0.683013455365071</v>
      </c>
      <c r="J67" s="51" t="n">
        <f aca="false">1/(1+LCOE_Discount_Rate)^J$5</f>
        <v>0.620921323059155</v>
      </c>
      <c r="K67" s="51" t="n">
        <f aca="false">1/(1+LCOE_Discount_Rate)^K$5</f>
        <v>0.564473930053777</v>
      </c>
      <c r="L67" s="51" t="n">
        <f aca="false">1/(1+LCOE_Discount_Rate)^L$5</f>
        <v>0.513158118230707</v>
      </c>
      <c r="M67" s="51" t="n">
        <f aca="false">1/(1+LCOE_Discount_Rate)^M$5</f>
        <v>0.466507380209733</v>
      </c>
      <c r="N67" s="51" t="n">
        <f aca="false">1/(1+LCOE_Discount_Rate)^N$5</f>
        <v>0.424097618372485</v>
      </c>
      <c r="O67" s="51" t="n">
        <f aca="false">1/(1+LCOE_Discount_Rate)^O$5</f>
        <v>0.385543289429531</v>
      </c>
      <c r="P67" s="51" t="n">
        <f aca="false">1/(1+LCOE_Discount_Rate)^P$5</f>
        <v>0.350493899481392</v>
      </c>
      <c r="Q67" s="51" t="n">
        <f aca="false">1/(1+LCOE_Discount_Rate)^Q$5</f>
        <v>0.318630817710357</v>
      </c>
      <c r="R67" s="51" t="n">
        <f aca="false">1/(1+LCOE_Discount_Rate)^R$5</f>
        <v>0.289664379736688</v>
      </c>
      <c r="S67" s="51" t="n">
        <f aca="false">1/(1+LCOE_Discount_Rate)^S$5</f>
        <v>0.26333125430608</v>
      </c>
      <c r="T67" s="51" t="n">
        <f aca="false">1/(1+LCOE_Discount_Rate)^T$5</f>
        <v>0.239392049369163</v>
      </c>
      <c r="U67" s="51" t="n">
        <f aca="false">1/(1+LCOE_Discount_Rate)^U$5</f>
        <v>0.217629135790149</v>
      </c>
      <c r="V67" s="51" t="n">
        <f aca="false">1/(1+LCOE_Discount_Rate)^V$5</f>
        <v>0.197844668900135</v>
      </c>
      <c r="W67" s="51" t="n">
        <f aca="false">1/(1+LCOE_Discount_Rate)^W$5</f>
        <v>0.179858789909214</v>
      </c>
      <c r="X67" s="51" t="n">
        <f aca="false">1/(1+LCOE_Discount_Rate)^X$5</f>
        <v>0.163507990826558</v>
      </c>
      <c r="Y67" s="51" t="n">
        <f aca="false">1/(1+LCOE_Discount_Rate)^Y$5</f>
        <v>0.148643628024143</v>
      </c>
      <c r="Z67" s="51" t="n">
        <f aca="false">1/(1+LCOE_Discount_Rate)^Z$5</f>
        <v>0.135130570931039</v>
      </c>
      <c r="AA67" s="51" t="n">
        <f aca="false">1/(1+LCOE_Discount_Rate)^AA$5</f>
        <v>0.122845973573672</v>
      </c>
      <c r="AB67" s="51" t="n">
        <f aca="false">1/(1+LCOE_Discount_Rate)^AB$5</f>
        <v>0.111678157794247</v>
      </c>
      <c r="AC67" s="51" t="n">
        <f aca="false">1/(1+LCOE_Discount_Rate)^AC$5</f>
        <v>0.10152559799477</v>
      </c>
      <c r="AD67" s="51" t="n">
        <f aca="false">1/(1+LCOE_Discount_Rate)^AD$5</f>
        <v>0.092295998177064</v>
      </c>
    </row>
    <row r="68" customFormat="false" ht="15" hidden="false" customHeight="false" outlineLevel="0" collapsed="false">
      <c r="B68" s="4" t="s">
        <v>192</v>
      </c>
      <c r="C68" s="24" t="s">
        <v>120</v>
      </c>
      <c r="D68" s="44" t="n">
        <f aca="false">SUM(E68:AD68)</f>
        <v>12000000</v>
      </c>
      <c r="E68" s="45" t="n">
        <f aca="false">E19*E67</f>
        <v>12000000</v>
      </c>
      <c r="F68" s="45" t="n">
        <f aca="false">F19*F67</f>
        <v>0</v>
      </c>
      <c r="G68" s="45" t="n">
        <f aca="false">G19*G67</f>
        <v>0</v>
      </c>
      <c r="H68" s="45" t="n">
        <f aca="false">H19*H67</f>
        <v>0</v>
      </c>
      <c r="I68" s="45" t="n">
        <f aca="false">I19*I67</f>
        <v>0</v>
      </c>
      <c r="J68" s="45" t="n">
        <f aca="false">J19*J67</f>
        <v>0</v>
      </c>
      <c r="K68" s="45" t="n">
        <f aca="false">K19*K67</f>
        <v>0</v>
      </c>
      <c r="L68" s="45" t="n">
        <f aca="false">L19*L67</f>
        <v>0</v>
      </c>
      <c r="M68" s="45" t="n">
        <f aca="false">M19*M67</f>
        <v>0</v>
      </c>
      <c r="N68" s="45" t="n">
        <f aca="false">N19*N67</f>
        <v>0</v>
      </c>
      <c r="O68" s="45" t="n">
        <f aca="false">O19*O67</f>
        <v>0</v>
      </c>
      <c r="P68" s="45" t="n">
        <f aca="false">P19*P67</f>
        <v>0</v>
      </c>
      <c r="Q68" s="45" t="n">
        <f aca="false">Q19*Q67</f>
        <v>0</v>
      </c>
      <c r="R68" s="45" t="n">
        <f aca="false">R19*R67</f>
        <v>0</v>
      </c>
      <c r="S68" s="45" t="n">
        <f aca="false">S19*S67</f>
        <v>0</v>
      </c>
      <c r="T68" s="45" t="n">
        <f aca="false">T19*T67</f>
        <v>0</v>
      </c>
      <c r="U68" s="45" t="n">
        <f aca="false">U19*U67</f>
        <v>0</v>
      </c>
      <c r="V68" s="45" t="n">
        <f aca="false">V19*V67</f>
        <v>0</v>
      </c>
      <c r="W68" s="45" t="n">
        <f aca="false">W19*W67</f>
        <v>0</v>
      </c>
      <c r="X68" s="45" t="n">
        <f aca="false">X19*X67</f>
        <v>0</v>
      </c>
      <c r="Y68" s="45" t="n">
        <f aca="false">Y19*Y67</f>
        <v>0</v>
      </c>
      <c r="Z68" s="45" t="n">
        <f aca="false">Z19*Z67</f>
        <v>0</v>
      </c>
      <c r="AA68" s="45" t="n">
        <f aca="false">AA19*AA67</f>
        <v>0</v>
      </c>
      <c r="AB68" s="45" t="n">
        <f aca="false">AB19*AB67</f>
        <v>0</v>
      </c>
      <c r="AC68" s="45" t="n">
        <f aca="false">AC19*AC67</f>
        <v>0</v>
      </c>
      <c r="AD68" s="45" t="n">
        <f aca="false">AD19*AD67</f>
        <v>0</v>
      </c>
    </row>
    <row r="69" customFormat="false" ht="15" hidden="false" customHeight="false" outlineLevel="0" collapsed="false">
      <c r="B69" s="4" t="s">
        <v>193</v>
      </c>
      <c r="C69" s="24" t="s">
        <v>120</v>
      </c>
      <c r="D69" s="44" t="n">
        <f aca="false">SUM(E69:AD69)</f>
        <v>2180175.13036511</v>
      </c>
      <c r="E69" s="45" t="n">
        <f aca="false">E15*E67</f>
        <v>0</v>
      </c>
      <c r="F69" s="45" t="n">
        <f aca="false">F15*F67</f>
        <v>163636.363636364</v>
      </c>
      <c r="G69" s="45" t="n">
        <f aca="false">G15*G67</f>
        <v>156198.347107438</v>
      </c>
      <c r="H69" s="45" t="n">
        <f aca="false">H15*H67</f>
        <v>149098.422238918</v>
      </c>
      <c r="I69" s="45" t="n">
        <f aca="false">I15*I67</f>
        <v>142321.221228058</v>
      </c>
      <c r="J69" s="45" t="n">
        <f aca="false">J15*J67</f>
        <v>135852.074808601</v>
      </c>
      <c r="K69" s="45" t="n">
        <f aca="false">K15*K67</f>
        <v>129676.980499119</v>
      </c>
      <c r="L69" s="45" t="n">
        <f aca="false">L15*L67</f>
        <v>123782.572294614</v>
      </c>
      <c r="M69" s="45" t="n">
        <f aca="false">M15*M67</f>
        <v>118156.091735768</v>
      </c>
      <c r="N69" s="45" t="n">
        <f aca="false">N15*N67</f>
        <v>112785.360293233</v>
      </c>
      <c r="O69" s="45" t="n">
        <f aca="false">O15*O67</f>
        <v>107658.753007177</v>
      </c>
      <c r="P69" s="45" t="n">
        <f aca="false">P15*P67</f>
        <v>102765.173325032</v>
      </c>
      <c r="Q69" s="45" t="n">
        <f aca="false">Q15*Q67</f>
        <v>98094.0290829854</v>
      </c>
      <c r="R69" s="45" t="n">
        <f aca="false">R15*R67</f>
        <v>93635.2095792133</v>
      </c>
      <c r="S69" s="45" t="n">
        <f aca="false">S15*S67</f>
        <v>89379.0636892491</v>
      </c>
      <c r="T69" s="45" t="n">
        <f aca="false">T15*T67</f>
        <v>85316.3789761014</v>
      </c>
      <c r="U69" s="45" t="n">
        <f aca="false">U15*U67</f>
        <v>81438.3617499149</v>
      </c>
      <c r="V69" s="45" t="n">
        <f aca="false">V15*V67</f>
        <v>77736.6180340097</v>
      </c>
      <c r="W69" s="45" t="n">
        <f aca="false">W15*W67</f>
        <v>74203.1353961002</v>
      </c>
      <c r="X69" s="45" t="n">
        <f aca="false">X15*X67</f>
        <v>70830.2656053683</v>
      </c>
      <c r="Y69" s="45" t="n">
        <f aca="false">Y15*Y67</f>
        <v>67610.7080778516</v>
      </c>
      <c r="Z69" s="45" t="n">
        <f aca="false">Z15*Z67</f>
        <v>0</v>
      </c>
      <c r="AA69" s="45" t="n">
        <f aca="false">AA15*AA67</f>
        <v>0</v>
      </c>
      <c r="AB69" s="45" t="n">
        <f aca="false">AB15*AB67</f>
        <v>0</v>
      </c>
      <c r="AC69" s="45" t="n">
        <f aca="false">AC15*AC67</f>
        <v>0</v>
      </c>
      <c r="AD69" s="45" t="n">
        <f aca="false">AD15*AD67</f>
        <v>0</v>
      </c>
    </row>
    <row r="70" customFormat="false" ht="15" hidden="false" customHeight="false" outlineLevel="0" collapsed="false">
      <c r="B70" s="4" t="s">
        <v>194</v>
      </c>
      <c r="C70" s="24" t="s">
        <v>130</v>
      </c>
      <c r="D70" s="38" t="n">
        <f aca="false">SUM(E70:AD70)</f>
        <v>13601270.826995</v>
      </c>
      <c r="E70" s="39" t="n">
        <f aca="false">E10*E67</f>
        <v>0</v>
      </c>
      <c r="F70" s="39" t="n">
        <f aca="false">F10*F67</f>
        <v>1500000</v>
      </c>
      <c r="G70" s="39" t="n">
        <f aca="false">G10*G67</f>
        <v>1356818.18181818</v>
      </c>
      <c r="H70" s="39" t="n">
        <f aca="false">H10*H67</f>
        <v>1227303.71900826</v>
      </c>
      <c r="I70" s="39" t="n">
        <f aca="false">I10*I67</f>
        <v>1110152.00037566</v>
      </c>
      <c r="J70" s="39" t="n">
        <f aca="false">J10*J67</f>
        <v>1004182.94579434</v>
      </c>
      <c r="K70" s="39" t="n">
        <f aca="false">K10*K67</f>
        <v>908329.119150339</v>
      </c>
      <c r="L70" s="39" t="n">
        <f aca="false">L10*L67</f>
        <v>821624.975958715</v>
      </c>
      <c r="M70" s="39" t="n">
        <f aca="false">M10*M67</f>
        <v>743197.137344474</v>
      </c>
      <c r="N70" s="39" t="n">
        <f aca="false">N10*N67</f>
        <v>672255.592416138</v>
      </c>
      <c r="O70" s="39" t="n">
        <f aca="false">O10*O67</f>
        <v>608085.740412779</v>
      </c>
      <c r="P70" s="39" t="n">
        <f aca="false">P10*P67</f>
        <v>550041.192464287</v>
      </c>
      <c r="Q70" s="39" t="n">
        <f aca="false">Q10*Q67</f>
        <v>497537.260456332</v>
      </c>
      <c r="R70" s="39" t="n">
        <f aca="false">R10*R67</f>
        <v>450045.067412773</v>
      </c>
      <c r="S70" s="39" t="n">
        <f aca="false">S10*S67</f>
        <v>407086.220068826</v>
      </c>
      <c r="T70" s="39" t="n">
        <f aca="false">T10*T67</f>
        <v>368227.989971348</v>
      </c>
      <c r="U70" s="39" t="n">
        <f aca="false">U10*U67</f>
        <v>333078.954564992</v>
      </c>
      <c r="V70" s="39" t="n">
        <f aca="false">V10*V67</f>
        <v>301285.054356515</v>
      </c>
      <c r="W70" s="39" t="n">
        <f aca="false">W10*W67</f>
        <v>272526.026440666</v>
      </c>
      <c r="X70" s="39" t="n">
        <f aca="false">X10*X67</f>
        <v>246512.178462239</v>
      </c>
      <c r="Y70" s="39" t="n">
        <f aca="false">Y10*Y67</f>
        <v>222981.470518116</v>
      </c>
      <c r="Z70" s="39" t="n">
        <f aca="false">Z10*Z67</f>
        <v>0</v>
      </c>
      <c r="AA70" s="39" t="n">
        <f aca="false">AA10*AA67</f>
        <v>0</v>
      </c>
      <c r="AB70" s="39" t="n">
        <f aca="false">AB10*AB67</f>
        <v>0</v>
      </c>
      <c r="AC70" s="39" t="n">
        <f aca="false">AC10*AC67</f>
        <v>0</v>
      </c>
      <c r="AD70" s="39" t="n">
        <f aca="false">AD10*AD67</f>
        <v>0</v>
      </c>
    </row>
    <row r="71" customFormat="false" ht="15" hidden="false" customHeight="false" outlineLevel="0" collapsed="false">
      <c r="B71" s="3" t="s">
        <v>195</v>
      </c>
      <c r="C71" s="24" t="s">
        <v>79</v>
      </c>
      <c r="D71" s="52" t="n">
        <f aca="false">(D68+D69)/D70</f>
        <v>1.04256251571884</v>
      </c>
    </row>
    <row r="72" customFormat="false" ht="15" hidden="false" customHeight="false" outlineLevel="0" collapsed="false">
      <c r="B72" s="4" t="s">
        <v>196</v>
      </c>
      <c r="C72" s="24" t="s">
        <v>120</v>
      </c>
      <c r="D72" s="44" t="n">
        <f aca="false">SUM(E72:AD72)</f>
        <v>22934743.8969782</v>
      </c>
      <c r="E72" s="45" t="n">
        <f aca="false">E12*E67</f>
        <v>0</v>
      </c>
      <c r="F72" s="45" t="n">
        <f aca="false">F12*F67</f>
        <v>1725000</v>
      </c>
      <c r="G72" s="45" t="n">
        <f aca="false">G12*G67</f>
        <v>1646159.65909091</v>
      </c>
      <c r="H72" s="45" t="n">
        <f aca="false">H12*H67</f>
        <v>1570922.68012655</v>
      </c>
      <c r="I72" s="45" t="n">
        <f aca="false">I12*I67</f>
        <v>1499124.37308713</v>
      </c>
      <c r="J72" s="45" t="n">
        <f aca="false">J12*J67</f>
        <v>1430607.57503535</v>
      </c>
      <c r="K72" s="45" t="n">
        <f aca="false">K12*K67</f>
        <v>1365222.30609453</v>
      </c>
      <c r="L72" s="45" t="n">
        <f aca="false">L12*L67</f>
        <v>1302825.44115007</v>
      </c>
      <c r="M72" s="45" t="n">
        <f aca="false">M12*M67</f>
        <v>1243280.39655569</v>
      </c>
      <c r="N72" s="45" t="n">
        <f aca="false">N12*N67</f>
        <v>1186456.83115857</v>
      </c>
      <c r="O72" s="45" t="n">
        <f aca="false">O12*O67</f>
        <v>1132230.36098902</v>
      </c>
      <c r="P72" s="45" t="n">
        <f aca="false">P12*P67</f>
        <v>1080482.28699018</v>
      </c>
      <c r="Q72" s="45" t="n">
        <f aca="false">Q12*Q67</f>
        <v>1031099.33519161</v>
      </c>
      <c r="R72" s="45" t="n">
        <f aca="false">R12*R67</f>
        <v>983973.408758193</v>
      </c>
      <c r="S72" s="45" t="n">
        <f aca="false">S12*S67</f>
        <v>939001.35137154</v>
      </c>
      <c r="T72" s="45" t="n">
        <f aca="false">T12*T67</f>
        <v>896084.7214259</v>
      </c>
      <c r="U72" s="45" t="n">
        <f aca="false">U12*U67</f>
        <v>855129.576544366</v>
      </c>
      <c r="V72" s="45" t="n">
        <f aca="false">V12*V67</f>
        <v>816046.267943668</v>
      </c>
      <c r="W72" s="45" t="n">
        <f aca="false">W12*W67</f>
        <v>778749.244197424</v>
      </c>
      <c r="X72" s="45" t="n">
        <f aca="false">X12*X67</f>
        <v>743156.86396831</v>
      </c>
      <c r="Y72" s="45" t="n">
        <f aca="false">Y12*Y67</f>
        <v>709191.217299213</v>
      </c>
      <c r="Z72" s="45" t="n">
        <f aca="false">Z12*Z67</f>
        <v>0</v>
      </c>
      <c r="AA72" s="45" t="n">
        <f aca="false">AA12*AA67</f>
        <v>0</v>
      </c>
      <c r="AB72" s="45" t="n">
        <f aca="false">AB12*AB67</f>
        <v>0</v>
      </c>
      <c r="AC72" s="45" t="n">
        <f aca="false">AC12*AC67</f>
        <v>0</v>
      </c>
      <c r="AD72" s="45" t="n">
        <f aca="false">AD12*AD67</f>
        <v>0</v>
      </c>
    </row>
    <row r="73" customFormat="false" ht="15" hidden="false" customHeight="false" outlineLevel="0" collapsed="false">
      <c r="B73" s="4" t="s">
        <v>197</v>
      </c>
      <c r="C73" s="24" t="s">
        <v>79</v>
      </c>
      <c r="D73" s="52" t="n">
        <f aca="false">D72/D70</f>
        <v>1.68622066192953</v>
      </c>
    </row>
    <row r="75" customFormat="false" ht="15" hidden="false" customHeight="false" outlineLevel="0" collapsed="false">
      <c r="B75" s="21" t="s">
        <v>198</v>
      </c>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row>
    <row r="76" customFormat="false" ht="15" hidden="false" customHeight="false" outlineLevel="0" collapsed="false">
      <c r="B76" s="4" t="s">
        <v>199</v>
      </c>
      <c r="C76" s="24" t="s">
        <v>191</v>
      </c>
      <c r="E76" s="51" t="n">
        <f aca="false">1/(1+Equity_Discount_Rate)^E$5</f>
        <v>1</v>
      </c>
      <c r="F76" s="51" t="n">
        <f aca="false">1/(1+Equity_Discount_Rate)^F$5</f>
        <v>0.862068965517241</v>
      </c>
      <c r="G76" s="51" t="n">
        <f aca="false">1/(1+Equity_Discount_Rate)^G$5</f>
        <v>0.743162901307967</v>
      </c>
      <c r="H76" s="51" t="n">
        <f aca="false">1/(1+Equity_Discount_Rate)^H$5</f>
        <v>0.640657673541351</v>
      </c>
      <c r="I76" s="51" t="n">
        <f aca="false">1/(1+Equity_Discount_Rate)^I$5</f>
        <v>0.552291097880475</v>
      </c>
      <c r="J76" s="51" t="n">
        <f aca="false">1/(1+Equity_Discount_Rate)^J$5</f>
        <v>0.476113015414203</v>
      </c>
      <c r="K76" s="51" t="n">
        <f aca="false">1/(1+Equity_Discount_Rate)^K$5</f>
        <v>0.410442254667416</v>
      </c>
      <c r="L76" s="51" t="n">
        <f aca="false">1/(1+Equity_Discount_Rate)^L$5</f>
        <v>0.353829529885703</v>
      </c>
      <c r="M76" s="51" t="n">
        <f aca="false">1/(1+Equity_Discount_Rate)^M$5</f>
        <v>0.30502545679802</v>
      </c>
      <c r="N76" s="51" t="n">
        <f aca="false">1/(1+Equity_Discount_Rate)^N$5</f>
        <v>0.262952979998293</v>
      </c>
      <c r="O76" s="51" t="n">
        <f aca="false">1/(1+Equity_Discount_Rate)^O$5</f>
        <v>0.226683603446805</v>
      </c>
      <c r="P76" s="51" t="n">
        <f aca="false">1/(1+Equity_Discount_Rate)^P$5</f>
        <v>0.195416899523107</v>
      </c>
      <c r="Q76" s="51" t="n">
        <f aca="false">1/(1+Equity_Discount_Rate)^Q$5</f>
        <v>0.168462844416472</v>
      </c>
      <c r="R76" s="51" t="n">
        <f aca="false">1/(1+Equity_Discount_Rate)^R$5</f>
        <v>0.1452265900142</v>
      </c>
      <c r="S76" s="51" t="n">
        <f aca="false">1/(1+Equity_Discount_Rate)^S$5</f>
        <v>0.125195336219138</v>
      </c>
      <c r="T76" s="51" t="n">
        <f aca="false">1/(1+Equity_Discount_Rate)^T$5</f>
        <v>0.107927013982015</v>
      </c>
      <c r="U76" s="51" t="n">
        <f aca="false">1/(1+Equity_Discount_Rate)^U$5</f>
        <v>0.0930405292948409</v>
      </c>
      <c r="V76" s="51" t="n">
        <f aca="false">1/(1+Equity_Discount_Rate)^V$5</f>
        <v>0.0802073528403801</v>
      </c>
      <c r="W76" s="51" t="n">
        <f aca="false">1/(1+Equity_Discount_Rate)^W$5</f>
        <v>0.0691442696899828</v>
      </c>
      <c r="X76" s="51" t="n">
        <f aca="false">1/(1+Equity_Discount_Rate)^X$5</f>
        <v>0.0596071290430887</v>
      </c>
      <c r="Y76" s="51" t="n">
        <f aca="false">1/(1+Equity_Discount_Rate)^Y$5</f>
        <v>0.0513854560716282</v>
      </c>
      <c r="Z76" s="51" t="n">
        <f aca="false">1/(1+Equity_Discount_Rate)^Z$5</f>
        <v>0.0442978069583001</v>
      </c>
      <c r="AA76" s="51" t="n">
        <f aca="false">1/(1+Equity_Discount_Rate)^AA$5</f>
        <v>0.0381877646192243</v>
      </c>
      <c r="AB76" s="51" t="n">
        <f aca="false">1/(1+Equity_Discount_Rate)^AB$5</f>
        <v>0.0329204867407106</v>
      </c>
      <c r="AC76" s="51" t="n">
        <f aca="false">1/(1+Equity_Discount_Rate)^AC$5</f>
        <v>0.0283797299488884</v>
      </c>
      <c r="AD76" s="51" t="n">
        <f aca="false">1/(1+Equity_Discount_Rate)^AD$5</f>
        <v>0.0244652844386969</v>
      </c>
    </row>
    <row r="77" customFormat="false" ht="15" hidden="false" customHeight="false" outlineLevel="0" collapsed="false">
      <c r="B77" s="3" t="s">
        <v>200</v>
      </c>
      <c r="C77" s="24" t="s">
        <v>120</v>
      </c>
      <c r="D77" s="44" t="n">
        <f aca="false">SUM(E77:AD77)</f>
        <v>1497251.12286043</v>
      </c>
      <c r="E77" s="44" t="n">
        <f aca="false">E51*E76</f>
        <v>-4200000</v>
      </c>
      <c r="F77" s="44" t="n">
        <f aca="false">F51*F76</f>
        <v>314791.17270344</v>
      </c>
      <c r="G77" s="44" t="n">
        <f aca="false">G51*G76</f>
        <v>334803.023064797</v>
      </c>
      <c r="H77" s="44" t="n">
        <f aca="false">H51*H76</f>
        <v>346022.955779519</v>
      </c>
      <c r="I77" s="44" t="n">
        <f aca="false">I51*I76</f>
        <v>350237.197413435</v>
      </c>
      <c r="J77" s="44" t="n">
        <f aca="false">J51*J76</f>
        <v>348931.060027448</v>
      </c>
      <c r="K77" s="44" t="n">
        <f aca="false">K51*K76</f>
        <v>343335.632655319</v>
      </c>
      <c r="L77" s="44" t="n">
        <f aca="false">L51*L76</f>
        <v>334467.539441374</v>
      </c>
      <c r="M77" s="44" t="n">
        <f aca="false">M51*M76</f>
        <v>323162.767652863</v>
      </c>
      <c r="N77" s="44" t="n">
        <f aca="false">N51*N76</f>
        <v>215643.494721565</v>
      </c>
      <c r="O77" s="44" t="n">
        <f aca="false">O51*O76</f>
        <v>141739.32287464</v>
      </c>
      <c r="P77" s="44" t="n">
        <f aca="false">P51*P76</f>
        <v>397940.125318747</v>
      </c>
      <c r="Q77" s="44" t="n">
        <f aca="false">Q51*Q76</f>
        <v>360100.168784949</v>
      </c>
      <c r="R77" s="44" t="n">
        <f aca="false">R51*R76</f>
        <v>325858.394956569</v>
      </c>
      <c r="S77" s="44" t="n">
        <f aca="false">S51*S76</f>
        <v>294872.654670438</v>
      </c>
      <c r="T77" s="44" t="n">
        <f aca="false">T51*T76</f>
        <v>266833.333510905</v>
      </c>
      <c r="U77" s="44" t="n">
        <f aca="false">U51*U76</f>
        <v>241460.258103488</v>
      </c>
      <c r="V77" s="44" t="n">
        <f aca="false">V51*V76</f>
        <v>218499.896586682</v>
      </c>
      <c r="W77" s="44" t="n">
        <f aca="false">W51*W76</f>
        <v>197722.825288777</v>
      </c>
      <c r="X77" s="44" t="n">
        <f aca="false">X51*X76</f>
        <v>178921.43629646</v>
      </c>
      <c r="Y77" s="44" t="n">
        <f aca="false">Y51*Y76</f>
        <v>161907.863009009</v>
      </c>
      <c r="Z77" s="44" t="n">
        <f aca="false">Z51*Z76</f>
        <v>0</v>
      </c>
      <c r="AA77" s="44" t="n">
        <f aca="false">AA51*AA76</f>
        <v>0</v>
      </c>
      <c r="AB77" s="44" t="n">
        <f aca="false">AB51*AB76</f>
        <v>0</v>
      </c>
      <c r="AC77" s="44" t="n">
        <f aca="false">AC51*AC76</f>
        <v>0</v>
      </c>
      <c r="AD77" s="44" t="n">
        <f aca="false">AD51*AD76</f>
        <v>0</v>
      </c>
    </row>
  </sheetData>
  <printOptions headings="false" gridLines="false" gridLinesSet="true" horizontalCentered="true" verticalCentered="false"/>
  <pageMargins left="0.4" right="0.4" top="0.5" bottom="0.5" header="0.511811023622047" footer="0.5"/>
  <pageSetup paperSize="9" scale="100" fitToWidth="2" fitToHeight="0" pageOrder="downThenOver" orientation="landscape" blackAndWhite="false" draft="false" cellComments="none" horizontalDpi="300" verticalDpi="300" copies="1"/>
  <headerFooter differentFirst="false" differentOddEven="false">
    <oddHeader/>
    <oddFooter>&amp;L&amp;8 Illustrative reference case – not investment, tax or legal advice&amp;R&amp;8 &amp;A –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7"/>
    <col collapsed="false" customWidth="true" hidden="false" outlineLevel="0" max="4" min="4" style="0" width="9"/>
    <col collapsed="false" customWidth="true" hidden="false" outlineLevel="0" max="5" min="5" style="0" width="64"/>
    <col collapsed="false" customWidth="true" hidden="false" outlineLevel="0" max="6" min="6" style="0" width="2"/>
  </cols>
  <sheetData>
    <row r="1" customFormat="false" ht="24" hidden="false" customHeight="true" outlineLevel="0" collapsed="false">
      <c r="B1" s="16" t="s">
        <v>201</v>
      </c>
    </row>
    <row r="2" customFormat="false" ht="15" hidden="false" customHeight="false" outlineLevel="0" collapsed="false">
      <c r="B2" s="17" t="s">
        <v>202</v>
      </c>
    </row>
    <row r="3" customFormat="false" ht="15" hidden="false" customHeight="false" outlineLevel="0" collapsed="false">
      <c r="B3" s="18" t="s">
        <v>52</v>
      </c>
    </row>
    <row r="5" customFormat="false" ht="15" hidden="false" customHeight="false" outlineLevel="0" collapsed="false">
      <c r="B5" s="5" t="s">
        <v>203</v>
      </c>
      <c r="C5" s="5"/>
      <c r="D5" s="5"/>
      <c r="E5" s="5"/>
    </row>
    <row r="6" customFormat="false" ht="15" hidden="false" customHeight="false" outlineLevel="0" collapsed="false">
      <c r="B6" s="19" t="s">
        <v>204</v>
      </c>
      <c r="C6" s="20" t="s">
        <v>54</v>
      </c>
      <c r="D6" s="19" t="s">
        <v>55</v>
      </c>
      <c r="E6" s="19" t="s">
        <v>205</v>
      </c>
    </row>
    <row r="7" customFormat="false" ht="15" hidden="false" customHeight="false" outlineLevel="0" collapsed="false">
      <c r="B7" s="3" t="s">
        <v>206</v>
      </c>
      <c r="C7" s="53" t="n">
        <f aca="false">IRR(Calculations!E64:AD64)</f>
        <v>0.156424985619297</v>
      </c>
      <c r="D7" s="54" t="s">
        <v>97</v>
      </c>
      <c r="E7" s="24" t="s">
        <v>207</v>
      </c>
    </row>
    <row r="8" customFormat="false" ht="15" hidden="false" customHeight="false" outlineLevel="0" collapsed="false">
      <c r="B8" s="3" t="s">
        <v>208</v>
      </c>
      <c r="C8" s="53" t="n">
        <f aca="false">IRR(Calculations!E51:AD51)</f>
        <v>0.199815256917515</v>
      </c>
      <c r="D8" s="54" t="s">
        <v>97</v>
      </c>
      <c r="E8" s="24" t="s">
        <v>209</v>
      </c>
    </row>
    <row r="9" customFormat="false" ht="15" hidden="false" customHeight="false" outlineLevel="0" collapsed="false">
      <c r="B9" s="3" t="s">
        <v>210</v>
      </c>
      <c r="C9" s="55" t="n">
        <f aca="false">MIN(Calculations!F45:AD45)</f>
        <v>1.27001874941562</v>
      </c>
      <c r="D9" s="54" t="s">
        <v>111</v>
      </c>
      <c r="E9" s="24" t="s">
        <v>211</v>
      </c>
    </row>
    <row r="10" customFormat="false" ht="15" hidden="false" customHeight="false" outlineLevel="0" collapsed="false">
      <c r="B10" s="3" t="s">
        <v>212</v>
      </c>
      <c r="C10" s="55" t="n">
        <f aca="false">AVERAGE(Calculations!F45:AD45)</f>
        <v>1.51831568888987</v>
      </c>
      <c r="D10" s="54" t="s">
        <v>111</v>
      </c>
      <c r="E10" s="24" t="s">
        <v>213</v>
      </c>
    </row>
    <row r="11" customFormat="false" ht="15" hidden="false" customHeight="false" outlineLevel="0" collapsed="false">
      <c r="B11" s="3" t="s">
        <v>214</v>
      </c>
      <c r="C11" s="56" t="n">
        <f aca="false">Calculations!E51+NPV(Equity_Discount_Rate,Calculations!F51:AD51)</f>
        <v>1497251.12286043</v>
      </c>
      <c r="D11" s="54" t="s">
        <v>120</v>
      </c>
      <c r="E11" s="24" t="s">
        <v>215</v>
      </c>
    </row>
    <row r="12" customFormat="false" ht="15" hidden="false" customHeight="false" outlineLevel="0" collapsed="false">
      <c r="B12" s="3" t="s">
        <v>216</v>
      </c>
      <c r="C12" s="57" t="n">
        <f aca="false">Calculations!D71</f>
        <v>1.04256251571884</v>
      </c>
      <c r="D12" s="54" t="s">
        <v>79</v>
      </c>
      <c r="E12" s="24" t="s">
        <v>217</v>
      </c>
    </row>
    <row r="13" customFormat="false" ht="15" hidden="false" customHeight="false" outlineLevel="0" collapsed="false">
      <c r="B13" s="3" t="s">
        <v>218</v>
      </c>
      <c r="C13" s="58" t="n">
        <f aca="false">IFERROR(INDEX(Calculations!E5:AD5,MATCH(1,Calculations!E53:AD53,0)),"Not within term")</f>
        <v>7</v>
      </c>
      <c r="D13" s="54" t="s">
        <v>219</v>
      </c>
      <c r="E13" s="24" t="s">
        <v>220</v>
      </c>
    </row>
    <row r="14" customFormat="false" ht="15" hidden="false" customHeight="false" outlineLevel="0" collapsed="false">
      <c r="B14" s="3" t="s">
        <v>221</v>
      </c>
      <c r="C14" s="59" t="n">
        <f aca="false">Calculations!F10</f>
        <v>1650000</v>
      </c>
      <c r="D14" s="54" t="s">
        <v>130</v>
      </c>
      <c r="E14" s="24" t="s">
        <v>222</v>
      </c>
    </row>
    <row r="16" customFormat="false" ht="15" hidden="false" customHeight="false" outlineLevel="0" collapsed="false">
      <c r="B16" s="5" t="s">
        <v>223</v>
      </c>
      <c r="C16" s="5"/>
      <c r="D16" s="5"/>
      <c r="E16" s="5"/>
    </row>
    <row r="17" customFormat="false" ht="15" hidden="false" customHeight="false" outlineLevel="0" collapsed="false">
      <c r="B17" s="4" t="s">
        <v>224</v>
      </c>
      <c r="C17" s="60" t="n">
        <f aca="false">Capex_Total</f>
        <v>12000000</v>
      </c>
      <c r="D17" s="54" t="s">
        <v>120</v>
      </c>
      <c r="E17" s="24" t="s">
        <v>225</v>
      </c>
    </row>
    <row r="18" customFormat="false" ht="15" hidden="false" customHeight="false" outlineLevel="0" collapsed="false">
      <c r="B18" s="4" t="s">
        <v>122</v>
      </c>
      <c r="C18" s="60" t="n">
        <f aca="false">Debt_Amount</f>
        <v>7800000</v>
      </c>
      <c r="D18" s="54" t="s">
        <v>120</v>
      </c>
      <c r="E18" s="24" t="s">
        <v>226</v>
      </c>
    </row>
    <row r="19" customFormat="false" ht="15" hidden="false" customHeight="false" outlineLevel="0" collapsed="false">
      <c r="B19" s="4" t="s">
        <v>227</v>
      </c>
      <c r="C19" s="60" t="n">
        <f aca="false">Equity_Amount</f>
        <v>4200000</v>
      </c>
      <c r="D19" s="54" t="s">
        <v>120</v>
      </c>
      <c r="E19" s="24" t="s">
        <v>228</v>
      </c>
    </row>
    <row r="20" customFormat="false" ht="15" hidden="false" customHeight="false" outlineLevel="0" collapsed="false">
      <c r="B20" s="4" t="s">
        <v>229</v>
      </c>
      <c r="C20" s="60" t="n">
        <f aca="false">Debt_Service_Annual</f>
        <v>1352342.23966401</v>
      </c>
      <c r="D20" s="54" t="s">
        <v>120</v>
      </c>
      <c r="E20" s="24" t="s">
        <v>230</v>
      </c>
    </row>
    <row r="21" customFormat="false" ht="15" hidden="false" customHeight="false" outlineLevel="0" collapsed="false">
      <c r="B21" s="4" t="s">
        <v>231</v>
      </c>
      <c r="C21" s="60" t="n">
        <f aca="false">Calculations!F12</f>
        <v>1897500</v>
      </c>
      <c r="D21" s="54" t="s">
        <v>120</v>
      </c>
      <c r="E21" s="24" t="s">
        <v>232</v>
      </c>
    </row>
    <row r="22" customFormat="false" ht="15" hidden="false" customHeight="false" outlineLevel="0" collapsed="false">
      <c r="B22" s="4" t="s">
        <v>233</v>
      </c>
      <c r="C22" s="60" t="n">
        <f aca="false">Calculations!F16</f>
        <v>1717500</v>
      </c>
      <c r="D22" s="54" t="s">
        <v>120</v>
      </c>
      <c r="E22" s="24" t="s">
        <v>234</v>
      </c>
    </row>
    <row r="23" customFormat="false" ht="15" hidden="false" customHeight="false" outlineLevel="0" collapsed="false">
      <c r="B23" s="4" t="s">
        <v>235</v>
      </c>
      <c r="C23" s="61" t="n">
        <f aca="false">Calculations!D73</f>
        <v>1.68622066192953</v>
      </c>
      <c r="D23" s="54" t="s">
        <v>79</v>
      </c>
      <c r="E23" s="24" t="s">
        <v>236</v>
      </c>
    </row>
    <row r="24" customFormat="false" ht="15" hidden="false" customHeight="false" outlineLevel="0" collapsed="false">
      <c r="B24" s="4" t="s">
        <v>237</v>
      </c>
      <c r="C24" s="62" t="n">
        <f aca="false">C23/C12</f>
        <v>1.61738086350332</v>
      </c>
      <c r="D24" s="54" t="s">
        <v>111</v>
      </c>
      <c r="E24" s="24" t="s">
        <v>238</v>
      </c>
    </row>
    <row r="25" customFormat="false" ht="15" hidden="false" customHeight="false" outlineLevel="0" collapsed="false">
      <c r="B25" s="4" t="s">
        <v>239</v>
      </c>
      <c r="C25" s="63" t="n">
        <f aca="false">INDEX(Calculations!F5:AD5,MATCH(C9,Calculations!F45:AD45,0))</f>
        <v>1</v>
      </c>
      <c r="D25" s="54" t="s">
        <v>219</v>
      </c>
      <c r="E25" s="24" t="s">
        <v>240</v>
      </c>
    </row>
    <row r="26" customFormat="false" ht="15" hidden="false" customHeight="false" outlineLevel="0" collapsed="false">
      <c r="B26" s="4" t="s">
        <v>241</v>
      </c>
      <c r="C26" s="64" t="n">
        <f aca="false">C9-DSCR_Threshold</f>
        <v>0.0700187494156173</v>
      </c>
      <c r="D26" s="54" t="s">
        <v>111</v>
      </c>
      <c r="E26" s="24" t="s">
        <v>242</v>
      </c>
    </row>
    <row r="28" customFormat="false" ht="15" hidden="false" customHeight="false" outlineLevel="0" collapsed="false">
      <c r="B28" s="5" t="s">
        <v>243</v>
      </c>
      <c r="C28" s="5"/>
      <c r="D28" s="5"/>
      <c r="E28" s="5"/>
    </row>
    <row r="29" customFormat="false" ht="15" hidden="false" customHeight="false" outlineLevel="0" collapsed="false">
      <c r="B29" s="4" t="s">
        <v>244</v>
      </c>
      <c r="C29" s="65" t="str">
        <f aca="false">IF(ABS(Calculations!AD28)&lt;0.01,"OK","ERROR")</f>
        <v>OK</v>
      </c>
    </row>
    <row r="30" customFormat="false" ht="15" hidden="false" customHeight="false" outlineLevel="0" collapsed="false">
      <c r="B30" s="4" t="s">
        <v>245</v>
      </c>
      <c r="C30" s="65" t="str">
        <f aca="false">IF(ABS(Calculations!D27-Debt_Amount)&lt;0.01,"OK","ERROR")</f>
        <v>OK</v>
      </c>
    </row>
    <row r="31" customFormat="false" ht="15" hidden="false" customHeight="false" outlineLevel="0" collapsed="false">
      <c r="B31" s="4" t="s">
        <v>246</v>
      </c>
      <c r="C31" s="65" t="str">
        <f aca="false">IF(ABS(Debt_Amount+Equity_Amount-Capex_Total)&lt;0.01,"OK","ERROR")</f>
        <v>OK</v>
      </c>
    </row>
    <row r="32" customFormat="false" ht="15" hidden="false" customHeight="false" outlineLevel="0" collapsed="false">
      <c r="B32" s="4" t="s">
        <v>247</v>
      </c>
      <c r="C32" s="65" t="str">
        <f aca="false">IF(ABS(Tax_Dep_Total-1)&lt;0.000001,"OK","ERROR")</f>
        <v>OK</v>
      </c>
    </row>
    <row r="33" customFormat="false" ht="15" hidden="false" customHeight="false" outlineLevel="0" collapsed="false">
      <c r="B33" s="4" t="s">
        <v>248</v>
      </c>
      <c r="C33" s="65" t="str">
        <f aca="false">IF(ABS(Calculations!D20-Capex_Total)&lt;0.01,"OK","ERROR")</f>
        <v>OK</v>
      </c>
    </row>
    <row r="34" customFormat="false" ht="15" hidden="false" customHeight="false" outlineLevel="0" collapsed="false">
      <c r="B34" s="4" t="s">
        <v>249</v>
      </c>
      <c r="C34" s="65" t="str">
        <f aca="false">IF(AND(Debt_Tenor&lt;=PPA_Term,PPA_Term&lt;=25,Debt_Tenor&gt;=1),"OK","ERROR")</f>
        <v>OK</v>
      </c>
    </row>
    <row r="35" customFormat="false" ht="15" hidden="false" customHeight="false" outlineLevel="0" collapsed="false">
      <c r="B35" s="4" t="s">
        <v>250</v>
      </c>
      <c r="C35" s="65" t="str">
        <f aca="false">IF(ABS(C11-Calculations!D77)&lt;0.01,"OK","ERROR")</f>
        <v>OK</v>
      </c>
    </row>
    <row r="36" customFormat="false" ht="15" hidden="false" customHeight="false" outlineLevel="0" collapsed="false">
      <c r="B36" s="4" t="s">
        <v>251</v>
      </c>
      <c r="C36" s="65" t="str">
        <f aca="false">IF(AND(ABS(Sensitivity!D150-C8)&lt;0.0000001,ABS(Sensitivity!D151-C9)&lt;0.0000001),"OK","ERROR")</f>
        <v>OK</v>
      </c>
    </row>
    <row r="37" customFormat="false" ht="15" hidden="false" customHeight="false" outlineLevel="0" collapsed="false">
      <c r="B37" s="3" t="s">
        <v>252</v>
      </c>
      <c r="C37" s="66" t="str">
        <f aca="false">IF(COUNTIF(C29:C36,"OK")=8,"OK","CHECK")</f>
        <v>OK</v>
      </c>
    </row>
    <row r="39" customFormat="false" ht="15" hidden="false" customHeight="false" outlineLevel="0" collapsed="false">
      <c r="B39" s="24" t="s">
        <v>253</v>
      </c>
    </row>
  </sheetData>
  <conditionalFormatting sqref="C29:C37">
    <cfRule type="cellIs" priority="2" operator="equal" aboveAverage="0" equalAverage="0" bottom="0" percent="0" rank="0" text="" dxfId="0">
      <formula>"OK"</formula>
    </cfRule>
    <cfRule type="cellIs" priority="3" operator="notEqual" aboveAverage="0" equalAverage="0" bottom="0" percent="0" rank="0" text="" dxfId="1">
      <formula>"OK"</formula>
    </cfRule>
  </conditionalFormatting>
  <printOptions headings="false" gridLines="false" gridLinesSet="true" horizontalCentered="tru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Illustrative reference case – not investment, tax or legal advice&amp;R&amp;8 &amp;A –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D248"/>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6796875" defaultRowHeight="15" zeroHeight="false" outlineLevelRow="1" outlineLevelCol="0"/>
  <cols>
    <col collapsed="false" customWidth="true" hidden="false" outlineLevel="0" max="1" min="1" style="0" width="2"/>
    <col collapsed="false" customWidth="true" hidden="false" outlineLevel="0" max="2" min="2" style="0" width="46"/>
    <col collapsed="false" customWidth="true" hidden="false" outlineLevel="0" max="3" min="3" style="0" width="9"/>
    <col collapsed="false" customWidth="true" hidden="false" outlineLevel="0" max="4" min="4" style="0" width="16"/>
    <col collapsed="false" customWidth="true" hidden="false" outlineLevel="0" max="30" min="5" style="0" width="13.5"/>
  </cols>
  <sheetData>
    <row r="1" customFormat="false" ht="24" hidden="false" customHeight="true" outlineLevel="0" collapsed="false">
      <c r="B1" s="16" t="s">
        <v>254</v>
      </c>
    </row>
    <row r="2" customFormat="false" ht="15" hidden="false" customHeight="false" outlineLevel="0" collapsed="false">
      <c r="B2" s="17" t="s">
        <v>255</v>
      </c>
    </row>
    <row r="3" customFormat="false" ht="15" hidden="false" customHeight="false" outlineLevel="0" collapsed="false">
      <c r="B3" s="18" t="s">
        <v>52</v>
      </c>
    </row>
    <row r="5" customFormat="false" ht="15" hidden="false" customHeight="false" outlineLevel="0" collapsed="false">
      <c r="B5" s="5" t="s">
        <v>256</v>
      </c>
      <c r="C5" s="5"/>
      <c r="D5" s="5"/>
      <c r="E5" s="5"/>
      <c r="F5" s="5"/>
      <c r="G5" s="5"/>
      <c r="H5" s="5"/>
    </row>
    <row r="6" customFormat="false" ht="15" hidden="false" customHeight="false" outlineLevel="0" collapsed="false">
      <c r="B6" s="19" t="s">
        <v>204</v>
      </c>
      <c r="C6" s="19" t="s">
        <v>55</v>
      </c>
      <c r="D6" s="20" t="s">
        <v>257</v>
      </c>
      <c r="E6" s="20" t="str">
        <f aca="false">"Tariff -"&amp;TEXT(Sens_Tariff_Flex,"0%")</f>
        <v>Tariff -10%</v>
      </c>
      <c r="F6" s="20" t="str">
        <f aca="false">"Tariff +"&amp;TEXT(Sens_Tariff_Flex,"0%")</f>
        <v>Tariff +10%</v>
      </c>
      <c r="G6" s="20" t="str">
        <f aca="false">"Capex -"&amp;TEXT(Sens_Capex_Flex,"0%")</f>
        <v>Capex -10%</v>
      </c>
      <c r="H6" s="20" t="str">
        <f aca="false">"Capex +"&amp;TEXT(Sens_Capex_Flex,"0%")</f>
        <v>Capex +10%</v>
      </c>
    </row>
    <row r="7" customFormat="false" ht="15" hidden="false" customHeight="false" outlineLevel="0" collapsed="false">
      <c r="B7" s="4" t="s">
        <v>258</v>
      </c>
      <c r="C7" s="24" t="s">
        <v>111</v>
      </c>
      <c r="D7" s="67" t="n">
        <f aca="false">$D$131</f>
        <v>1</v>
      </c>
      <c r="E7" s="67" t="n">
        <f aca="false">$D$107</f>
        <v>0.9</v>
      </c>
      <c r="F7" s="67" t="n">
        <f aca="false">$D$155</f>
        <v>1.1</v>
      </c>
      <c r="G7" s="67" t="n">
        <f aca="false">$D$59</f>
        <v>1</v>
      </c>
      <c r="H7" s="67" t="n">
        <f aca="false">$D$203</f>
        <v>1</v>
      </c>
    </row>
    <row r="8" customFormat="false" ht="15" hidden="false" customHeight="false" outlineLevel="0" collapsed="false">
      <c r="B8" s="4" t="s">
        <v>259</v>
      </c>
      <c r="C8" s="24" t="s">
        <v>111</v>
      </c>
      <c r="D8" s="67" t="n">
        <f aca="false">$D$132</f>
        <v>1</v>
      </c>
      <c r="E8" s="67" t="n">
        <f aca="false">$D$108</f>
        <v>1</v>
      </c>
      <c r="F8" s="67" t="n">
        <f aca="false">$D$156</f>
        <v>1</v>
      </c>
      <c r="G8" s="67" t="n">
        <f aca="false">$D$60</f>
        <v>0.9</v>
      </c>
      <c r="H8" s="67" t="n">
        <f aca="false">$D$204</f>
        <v>1.1</v>
      </c>
    </row>
    <row r="9" customFormat="false" ht="15" hidden="false" customHeight="false" outlineLevel="0" collapsed="false">
      <c r="B9" s="3" t="s">
        <v>208</v>
      </c>
      <c r="C9" s="24" t="s">
        <v>97</v>
      </c>
      <c r="D9" s="68" t="n">
        <f aca="false">$D$150</f>
        <v>0.199815256917515</v>
      </c>
      <c r="E9" s="68" t="n">
        <f aca="false">$D$126</f>
        <v>0.167220630332377</v>
      </c>
      <c r="F9" s="68" t="n">
        <f aca="false">$D$174</f>
        <v>0.233322067831228</v>
      </c>
      <c r="G9" s="68" t="n">
        <f aca="false">$D$78</f>
        <v>0.233511549023135</v>
      </c>
      <c r="H9" s="68" t="n">
        <f aca="false">$D$222</f>
        <v>0.172966068869363</v>
      </c>
    </row>
    <row r="10" customFormat="false" ht="15" hidden="false" customHeight="false" outlineLevel="0" collapsed="false">
      <c r="B10" s="4" t="s">
        <v>260</v>
      </c>
      <c r="C10" s="24" t="s">
        <v>261</v>
      </c>
      <c r="D10" s="69" t="n">
        <f aca="false">D9-$D$9</f>
        <v>0</v>
      </c>
      <c r="E10" s="69" t="n">
        <f aca="false">E9-$D$9</f>
        <v>-0.0325946265851383</v>
      </c>
      <c r="F10" s="69" t="n">
        <f aca="false">F9-$D$9</f>
        <v>0.0335068109137131</v>
      </c>
      <c r="G10" s="69" t="n">
        <f aca="false">G9-$D$9</f>
        <v>0.0336962921056205</v>
      </c>
      <c r="H10" s="69" t="n">
        <f aca="false">H9-$D$9</f>
        <v>-0.0268491880481525</v>
      </c>
    </row>
    <row r="11" customFormat="false" ht="15" hidden="false" customHeight="false" outlineLevel="0" collapsed="false">
      <c r="B11" s="3" t="s">
        <v>210</v>
      </c>
      <c r="C11" s="24" t="s">
        <v>111</v>
      </c>
      <c r="D11" s="70" t="n">
        <f aca="false">$D$151</f>
        <v>1.27001874941562</v>
      </c>
      <c r="E11" s="70" t="n">
        <f aca="false">$D$127</f>
        <v>1.12970663430551</v>
      </c>
      <c r="F11" s="70" t="n">
        <f aca="false">$D$175</f>
        <v>1.41033086452573</v>
      </c>
      <c r="G11" s="70" t="n">
        <f aca="false">$D$79</f>
        <v>1.41113194379513</v>
      </c>
      <c r="H11" s="70" t="n">
        <f aca="false">$D$223</f>
        <v>1.15456249946874</v>
      </c>
    </row>
    <row r="12" customFormat="false" ht="15" hidden="false" customHeight="false" outlineLevel="0" collapsed="false">
      <c r="B12" s="4" t="s">
        <v>260</v>
      </c>
      <c r="C12" s="24" t="s">
        <v>111</v>
      </c>
      <c r="D12" s="64" t="n">
        <f aca="false">D11-$D$11</f>
        <v>0</v>
      </c>
      <c r="E12" s="64" t="n">
        <f aca="false">E11-$D$11</f>
        <v>-0.14031211511011</v>
      </c>
      <c r="F12" s="64" t="n">
        <f aca="false">F11-$D$11</f>
        <v>0.14031211511011</v>
      </c>
      <c r="G12" s="64" t="n">
        <f aca="false">G11-$D$11</f>
        <v>0.141113194379514</v>
      </c>
      <c r="H12" s="64" t="n">
        <f aca="false">H11-$D$11</f>
        <v>-0.115456249946874</v>
      </c>
    </row>
    <row r="13" customFormat="false" ht="15" hidden="false" customHeight="false" outlineLevel="0" collapsed="false">
      <c r="B13" s="4" t="s">
        <v>262</v>
      </c>
      <c r="C13" s="24" t="s">
        <v>120</v>
      </c>
      <c r="D13" s="60" t="n">
        <f aca="false">$D$152</f>
        <v>1497251.12286043</v>
      </c>
      <c r="E13" s="60" t="n">
        <f aca="false">$D$128</f>
        <v>276930.87987229</v>
      </c>
      <c r="F13" s="60" t="n">
        <f aca="false">$D$176</f>
        <v>2700211.12360987</v>
      </c>
      <c r="G13" s="60" t="n">
        <f aca="false">$D$80</f>
        <v>2436139.13656734</v>
      </c>
      <c r="H13" s="60" t="n">
        <f aca="false">$D$224</f>
        <v>545138.037317063</v>
      </c>
    </row>
    <row r="16" customFormat="false" ht="15" hidden="false" customHeight="false" outlineLevel="0" collapsed="false">
      <c r="B16" s="5" t="s">
        <v>263</v>
      </c>
      <c r="C16" s="5"/>
      <c r="D16" s="5"/>
      <c r="E16" s="5"/>
      <c r="F16" s="5"/>
      <c r="G16" s="5"/>
      <c r="H16" s="5"/>
    </row>
    <row r="17" customFormat="false" ht="15" hidden="false" customHeight="false" outlineLevel="0" collapsed="false">
      <c r="B17" s="24" t="s">
        <v>264</v>
      </c>
      <c r="E17" s="20" t="str">
        <f aca="false">"Tariff -"&amp;TEXT(Sens_Tariff_Flex,"0%")</f>
        <v>Tariff -10%</v>
      </c>
      <c r="F17" s="20" t="s">
        <v>265</v>
      </c>
      <c r="G17" s="20" t="str">
        <f aca="false">"Tariff +"&amp;TEXT(Sens_Tariff_Flex,"0%")</f>
        <v>Tariff +10%</v>
      </c>
    </row>
    <row r="18" customFormat="false" ht="15" hidden="false" customHeight="false" outlineLevel="0" collapsed="false">
      <c r="B18" s="3" t="str">
        <f aca="false">"Capex -"&amp;TEXT(Sens_Capex_Flex,"0%")</f>
        <v>Capex -10%</v>
      </c>
      <c r="E18" s="71" t="n">
        <f aca="false">$D$54</f>
        <v>0.196332486092375</v>
      </c>
      <c r="F18" s="71" t="n">
        <f aca="false">$D$78</f>
        <v>0.233511549023135</v>
      </c>
      <c r="G18" s="71" t="n">
        <f aca="false">$D$102</f>
        <v>0.272041682227707</v>
      </c>
    </row>
    <row r="19" customFormat="false" ht="15" hidden="false" customHeight="false" outlineLevel="0" collapsed="false">
      <c r="B19" s="3" t="s">
        <v>266</v>
      </c>
      <c r="E19" s="71" t="n">
        <f aca="false">$D$126</f>
        <v>0.167220630332377</v>
      </c>
      <c r="F19" s="72" t="n">
        <f aca="false">$D$150</f>
        <v>0.199815256917515</v>
      </c>
      <c r="G19" s="71" t="n">
        <f aca="false">$D$174</f>
        <v>0.233322067831228</v>
      </c>
    </row>
    <row r="20" customFormat="false" ht="15" hidden="false" customHeight="false" outlineLevel="0" collapsed="false">
      <c r="B20" s="3" t="str">
        <f aca="false">"Capex +"&amp;TEXT(Sens_Capex_Flex,"0%")</f>
        <v>Capex +10%</v>
      </c>
      <c r="E20" s="71" t="n">
        <f aca="false">$D$198</f>
        <v>0.143839204987281</v>
      </c>
      <c r="F20" s="71" t="n">
        <f aca="false">$D$222</f>
        <v>0.172966068869363</v>
      </c>
      <c r="G20" s="71" t="n">
        <f aca="false">$D$246</f>
        <v>0.20267680008182</v>
      </c>
    </row>
    <row r="23" customFormat="false" ht="15" hidden="false" customHeight="false" outlineLevel="0" collapsed="false">
      <c r="B23" s="5" t="s">
        <v>267</v>
      </c>
      <c r="C23" s="5"/>
      <c r="D23" s="5"/>
      <c r="E23" s="5"/>
      <c r="F23" s="5"/>
      <c r="G23" s="5"/>
      <c r="H23" s="5"/>
    </row>
    <row r="24" customFormat="false" ht="15" hidden="false" customHeight="false" outlineLevel="0" collapsed="false">
      <c r="B24" s="24" t="s">
        <v>264</v>
      </c>
      <c r="E24" s="20" t="str">
        <f aca="false">"Tariff -"&amp;TEXT(Sens_Tariff_Flex,"0%")</f>
        <v>Tariff -10%</v>
      </c>
      <c r="F24" s="20" t="s">
        <v>265</v>
      </c>
      <c r="G24" s="20" t="str">
        <f aca="false">"Tariff +"&amp;TEXT(Sens_Tariff_Flex,"0%")</f>
        <v>Tariff +10%</v>
      </c>
    </row>
    <row r="25" customFormat="false" ht="15" hidden="false" customHeight="false" outlineLevel="0" collapsed="false">
      <c r="B25" s="3" t="str">
        <f aca="false">"Capex -"&amp;TEXT(Sens_Capex_Flex,"0%")</f>
        <v>Capex -10%</v>
      </c>
      <c r="E25" s="73" t="n">
        <f aca="false">$D$55</f>
        <v>1.25522959367279</v>
      </c>
      <c r="F25" s="73" t="n">
        <f aca="false">$D$79</f>
        <v>1.41113194379513</v>
      </c>
      <c r="G25" s="73" t="n">
        <f aca="false">$D$103</f>
        <v>1.56703429391748</v>
      </c>
    </row>
    <row r="26" customFormat="false" ht="15" hidden="false" customHeight="false" outlineLevel="0" collapsed="false">
      <c r="B26" s="3" t="s">
        <v>266</v>
      </c>
      <c r="E26" s="73" t="n">
        <f aca="false">$D$127</f>
        <v>1.12970663430551</v>
      </c>
      <c r="F26" s="74" t="n">
        <f aca="false">$D$151</f>
        <v>1.27001874941562</v>
      </c>
      <c r="G26" s="73" t="n">
        <f aca="false">$D$175</f>
        <v>1.41033086452573</v>
      </c>
    </row>
    <row r="27" customFormat="false" ht="15" hidden="false" customHeight="false" outlineLevel="0" collapsed="false">
      <c r="B27" s="3" t="str">
        <f aca="false">"Capex +"&amp;TEXT(Sens_Capex_Flex,"0%")</f>
        <v>Capex +10%</v>
      </c>
      <c r="E27" s="73" t="n">
        <f aca="false">$D$199</f>
        <v>1.02700603118683</v>
      </c>
      <c r="F27" s="73" t="n">
        <f aca="false">$D$223</f>
        <v>1.15456249946874</v>
      </c>
      <c r="G27" s="73" t="n">
        <f aca="false">$D$247</f>
        <v>1.28211896775066</v>
      </c>
    </row>
    <row r="30" customFormat="false" ht="15" hidden="false" customHeight="false" outlineLevel="0" collapsed="false">
      <c r="B30" s="24" t="s">
        <v>268</v>
      </c>
    </row>
    <row r="32" customFormat="false" ht="15" hidden="false" customHeight="false" outlineLevel="0" collapsed="false">
      <c r="B32" s="5" t="s">
        <v>269</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4" customFormat="false" ht="15" hidden="false" customHeight="false" outlineLevel="0" collapsed="false">
      <c r="B34" s="21" t="s">
        <v>270</v>
      </c>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row>
    <row r="35" customFormat="false" ht="15" hidden="false" customHeight="false" outlineLevel="1" collapsed="false">
      <c r="B35" s="4" t="s">
        <v>258</v>
      </c>
      <c r="C35" s="24" t="s">
        <v>111</v>
      </c>
      <c r="D35" s="62" t="n">
        <f aca="false">1-Sens_Tariff_Flex</f>
        <v>0.9</v>
      </c>
    </row>
    <row r="36" customFormat="false" ht="15" hidden="false" customHeight="false" outlineLevel="1" collapsed="false">
      <c r="B36" s="4" t="s">
        <v>259</v>
      </c>
      <c r="C36" s="24" t="s">
        <v>111</v>
      </c>
      <c r="D36" s="62" t="n">
        <f aca="false">1-Sens_Capex_Flex</f>
        <v>0.9</v>
      </c>
    </row>
    <row r="37" customFormat="false" ht="15" hidden="false" customHeight="false" outlineLevel="1" collapsed="false">
      <c r="B37" s="4" t="s">
        <v>271</v>
      </c>
      <c r="C37" s="24" t="s">
        <v>120</v>
      </c>
      <c r="D37" s="32" t="n">
        <f aca="false">Capex_Total*D36</f>
        <v>10800000</v>
      </c>
    </row>
    <row r="38" customFormat="false" ht="15" hidden="false" customHeight="false" outlineLevel="1" collapsed="false">
      <c r="B38" s="4" t="s">
        <v>272</v>
      </c>
      <c r="C38" s="24" t="s">
        <v>120</v>
      </c>
      <c r="D38" s="32" t="n">
        <f aca="false">D37*Gearing</f>
        <v>7020000</v>
      </c>
    </row>
    <row r="39" customFormat="false" ht="15" hidden="false" customHeight="false" outlineLevel="1" collapsed="false">
      <c r="B39" s="4" t="s">
        <v>273</v>
      </c>
      <c r="C39" s="24" t="s">
        <v>120</v>
      </c>
      <c r="D39" s="32" t="n">
        <f aca="false">-PMT(Interest_Rate,Debt_Tenor,D38)</f>
        <v>1217108.01569761</v>
      </c>
    </row>
    <row r="40" customFormat="false" ht="15" hidden="false" customHeight="false" outlineLevel="1" collapsed="false">
      <c r="B40" s="4" t="s">
        <v>144</v>
      </c>
      <c r="C40" s="24"/>
      <c r="E40" s="75" t="n">
        <f aca="false">Calculations!E$5</f>
        <v>0</v>
      </c>
      <c r="F40" s="75" t="n">
        <f aca="false">Calculations!F$5</f>
        <v>1</v>
      </c>
      <c r="G40" s="75" t="n">
        <f aca="false">Calculations!G$5</f>
        <v>2</v>
      </c>
      <c r="H40" s="75" t="n">
        <f aca="false">Calculations!H$5</f>
        <v>3</v>
      </c>
      <c r="I40" s="75" t="n">
        <f aca="false">Calculations!I$5</f>
        <v>4</v>
      </c>
      <c r="J40" s="75" t="n">
        <f aca="false">Calculations!J$5</f>
        <v>5</v>
      </c>
      <c r="K40" s="75" t="n">
        <f aca="false">Calculations!K$5</f>
        <v>6</v>
      </c>
      <c r="L40" s="75" t="n">
        <f aca="false">Calculations!L$5</f>
        <v>7</v>
      </c>
      <c r="M40" s="75" t="n">
        <f aca="false">Calculations!M$5</f>
        <v>8</v>
      </c>
      <c r="N40" s="75" t="n">
        <f aca="false">Calculations!N$5</f>
        <v>9</v>
      </c>
      <c r="O40" s="75" t="n">
        <f aca="false">Calculations!O$5</f>
        <v>10</v>
      </c>
      <c r="P40" s="75" t="n">
        <f aca="false">Calculations!P$5</f>
        <v>11</v>
      </c>
      <c r="Q40" s="75" t="n">
        <f aca="false">Calculations!Q$5</f>
        <v>12</v>
      </c>
      <c r="R40" s="75" t="n">
        <f aca="false">Calculations!R$5</f>
        <v>13</v>
      </c>
      <c r="S40" s="75" t="n">
        <f aca="false">Calculations!S$5</f>
        <v>14</v>
      </c>
      <c r="T40" s="75" t="n">
        <f aca="false">Calculations!T$5</f>
        <v>15</v>
      </c>
      <c r="U40" s="75" t="n">
        <f aca="false">Calculations!U$5</f>
        <v>16</v>
      </c>
      <c r="V40" s="75" t="n">
        <f aca="false">Calculations!V$5</f>
        <v>17</v>
      </c>
      <c r="W40" s="75" t="n">
        <f aca="false">Calculations!W$5</f>
        <v>18</v>
      </c>
      <c r="X40" s="75" t="n">
        <f aca="false">Calculations!X$5</f>
        <v>19</v>
      </c>
      <c r="Y40" s="75" t="n">
        <f aca="false">Calculations!Y$5</f>
        <v>20</v>
      </c>
      <c r="Z40" s="75" t="n">
        <f aca="false">Calculations!Z$5</f>
        <v>21</v>
      </c>
      <c r="AA40" s="75" t="n">
        <f aca="false">Calculations!AA$5</f>
        <v>22</v>
      </c>
      <c r="AB40" s="75" t="n">
        <f aca="false">Calculations!AB$5</f>
        <v>23</v>
      </c>
      <c r="AC40" s="75" t="n">
        <f aca="false">Calculations!AC$5</f>
        <v>24</v>
      </c>
      <c r="AD40" s="75" t="n">
        <f aca="false">Calculations!AD$5</f>
        <v>25</v>
      </c>
    </row>
    <row r="41" customFormat="false" ht="15" hidden="false" customHeight="false" outlineLevel="1" collapsed="false">
      <c r="B41" s="4" t="s">
        <v>152</v>
      </c>
      <c r="C41" s="24" t="s">
        <v>120</v>
      </c>
      <c r="F41" s="32" t="n">
        <f aca="false">Calculations!F$12*$D$35</f>
        <v>1707750</v>
      </c>
      <c r="G41" s="32" t="n">
        <f aca="false">Calculations!G$12*$D$35</f>
        <v>1792667.86875</v>
      </c>
      <c r="H41" s="32" t="n">
        <f aca="false">Calculations!H$12*$D$35</f>
        <v>1881808.27852359</v>
      </c>
      <c r="I41" s="32" t="n">
        <f aca="false">Calculations!I$12*$D$35</f>
        <v>1975381.19517318</v>
      </c>
      <c r="J41" s="32" t="n">
        <f aca="false">Calculations!J$12*$D$35</f>
        <v>2073607.02510317</v>
      </c>
      <c r="K41" s="32" t="n">
        <f aca="false">Calculations!K$12*$D$35</f>
        <v>2176717.13442642</v>
      </c>
      <c r="L41" s="32" t="n">
        <f aca="false">Calculations!L$12*$D$35</f>
        <v>2284954.39393577</v>
      </c>
      <c r="M41" s="32" t="n">
        <f aca="false">Calculations!M$12*$D$35</f>
        <v>2398573.75117423</v>
      </c>
      <c r="N41" s="32" t="n">
        <f aca="false">Calculations!N$12*$D$35</f>
        <v>2517842.83095137</v>
      </c>
      <c r="O41" s="32" t="n">
        <f aca="false">Calculations!O$12*$D$35</f>
        <v>2643042.56572042</v>
      </c>
      <c r="P41" s="32" t="n">
        <f aca="false">Calculations!P$12*$D$35</f>
        <v>2774467.85730087</v>
      </c>
      <c r="Q41" s="32" t="n">
        <f aca="false">Calculations!Q$12*$D$35</f>
        <v>2912428.27150516</v>
      </c>
      <c r="R41" s="32" t="n">
        <f aca="false">Calculations!R$12*$D$35</f>
        <v>3057248.76730575</v>
      </c>
      <c r="S41" s="32" t="n">
        <f aca="false">Calculations!S$12*$D$35</f>
        <v>3209270.46226003</v>
      </c>
      <c r="T41" s="32" t="n">
        <f aca="false">Calculations!T$12*$D$35</f>
        <v>3368851.43599591</v>
      </c>
      <c r="U41" s="32" t="n">
        <f aca="false">Calculations!U$12*$D$35</f>
        <v>3536367.57365081</v>
      </c>
      <c r="V41" s="32" t="n">
        <f aca="false">Calculations!V$12*$D$35</f>
        <v>3712213.45125059</v>
      </c>
      <c r="W41" s="32" t="n">
        <f aca="false">Calculations!W$12*$D$35</f>
        <v>3896803.26511403</v>
      </c>
      <c r="X41" s="32" t="n">
        <f aca="false">Calculations!X$12*$D$35</f>
        <v>4090571.80747182</v>
      </c>
      <c r="Y41" s="32" t="n">
        <f aca="false">Calculations!Y$12*$D$35</f>
        <v>4293975.49059836</v>
      </c>
      <c r="Z41" s="32" t="n">
        <f aca="false">Calculations!Z$12*$D$35</f>
        <v>0</v>
      </c>
      <c r="AA41" s="32" t="n">
        <f aca="false">Calculations!AA$12*$D$35</f>
        <v>0</v>
      </c>
      <c r="AB41" s="32" t="n">
        <f aca="false">Calculations!AB$12*$D$35</f>
        <v>0</v>
      </c>
      <c r="AC41" s="32" t="n">
        <f aca="false">Calculations!AC$12*$D$35</f>
        <v>0</v>
      </c>
      <c r="AD41" s="32" t="n">
        <f aca="false">Calculations!AD$12*$D$35</f>
        <v>0</v>
      </c>
    </row>
    <row r="42" customFormat="false" ht="15" hidden="false" customHeight="false" outlineLevel="1" collapsed="false">
      <c r="B42" s="4" t="s">
        <v>155</v>
      </c>
      <c r="C42" s="24" t="s">
        <v>120</v>
      </c>
      <c r="F42" s="32" t="n">
        <f aca="false">F41-Calculations!F$15</f>
        <v>1527750</v>
      </c>
      <c r="G42" s="32" t="n">
        <f aca="false">G41-Calculations!G$15</f>
        <v>1603667.86875</v>
      </c>
      <c r="H42" s="32" t="n">
        <f aca="false">H41-Calculations!H$15</f>
        <v>1683358.27852359</v>
      </c>
      <c r="I42" s="32" t="n">
        <f aca="false">I41-Calculations!I$15</f>
        <v>1767008.69517318</v>
      </c>
      <c r="J42" s="32" t="n">
        <f aca="false">J41-Calculations!J$15</f>
        <v>1854815.90010317</v>
      </c>
      <c r="K42" s="32" t="n">
        <f aca="false">K41-Calculations!K$15</f>
        <v>1946986.45317642</v>
      </c>
      <c r="L42" s="32" t="n">
        <f aca="false">L41-Calculations!L$15</f>
        <v>2043737.17862327</v>
      </c>
      <c r="M42" s="32" t="n">
        <f aca="false">M41-Calculations!M$15</f>
        <v>2145295.6750961</v>
      </c>
      <c r="N42" s="32" t="n">
        <f aca="false">N41-Calculations!N$15</f>
        <v>2251900.85106934</v>
      </c>
      <c r="O42" s="32" t="n">
        <f aca="false">O41-Calculations!O$15</f>
        <v>2363803.48684429</v>
      </c>
      <c r="P42" s="32" t="n">
        <f aca="false">P41-Calculations!P$15</f>
        <v>2481266.82448093</v>
      </c>
      <c r="Q42" s="32" t="n">
        <f aca="false">Q41-Calculations!Q$15</f>
        <v>2604567.18704422</v>
      </c>
      <c r="R42" s="32" t="n">
        <f aca="false">R41-Calculations!R$15</f>
        <v>2733994.62862177</v>
      </c>
      <c r="S42" s="32" t="n">
        <f aca="false">S41-Calculations!S$15</f>
        <v>2869853.61664185</v>
      </c>
      <c r="T42" s="32" t="n">
        <f aca="false">T41-Calculations!T$15</f>
        <v>3012463.74809682</v>
      </c>
      <c r="U42" s="32" t="n">
        <f aca="false">U41-Calculations!U$15</f>
        <v>3162160.50135676</v>
      </c>
      <c r="V42" s="32" t="n">
        <f aca="false">V41-Calculations!V$15</f>
        <v>3319296.02534184</v>
      </c>
      <c r="W42" s="32" t="n">
        <f aca="false">W41-Calculations!W$15</f>
        <v>3484239.96790984</v>
      </c>
      <c r="X42" s="32" t="n">
        <f aca="false">X41-Calculations!X$15</f>
        <v>3657380.34540743</v>
      </c>
      <c r="Y42" s="32" t="n">
        <f aca="false">Y41-Calculations!Y$15</f>
        <v>3839124.45543074</v>
      </c>
      <c r="Z42" s="32" t="n">
        <f aca="false">Z41-Calculations!Z$15</f>
        <v>0</v>
      </c>
      <c r="AA42" s="32" t="n">
        <f aca="false">AA41-Calculations!AA$15</f>
        <v>0</v>
      </c>
      <c r="AB42" s="32" t="n">
        <f aca="false">AB41-Calculations!AB$15</f>
        <v>0</v>
      </c>
      <c r="AC42" s="32" t="n">
        <f aca="false">AC41-Calculations!AC$15</f>
        <v>0</v>
      </c>
      <c r="AD42" s="32" t="n">
        <f aca="false">AD41-Calculations!AD$15</f>
        <v>0</v>
      </c>
    </row>
    <row r="43" customFormat="false" ht="15" hidden="false" customHeight="false" outlineLevel="1" collapsed="false">
      <c r="B43" s="4" t="s">
        <v>274</v>
      </c>
      <c r="C43" s="24" t="s">
        <v>120</v>
      </c>
      <c r="F43" s="32" t="n">
        <f aca="false">E46*Interest_Rate*Calculations!F$7</f>
        <v>807300</v>
      </c>
      <c r="G43" s="32" t="n">
        <f aca="false">F46*Interest_Rate*Calculations!G$7</f>
        <v>760172.078194775</v>
      </c>
      <c r="H43" s="32" t="n">
        <f aca="false">G46*Interest_Rate*Calculations!H$7</f>
        <v>707624.445381949</v>
      </c>
      <c r="I43" s="32" t="n">
        <f aca="false">H46*Interest_Rate*Calculations!I$7</f>
        <v>649033.834795649</v>
      </c>
      <c r="J43" s="32" t="n">
        <f aca="false">I46*Interest_Rate*Calculations!J$7</f>
        <v>583705.303991924</v>
      </c>
      <c r="K43" s="32" t="n">
        <f aca="false">J46*Interest_Rate*Calculations!K$7</f>
        <v>510863.99214577</v>
      </c>
      <c r="L43" s="32" t="n">
        <f aca="false">K46*Interest_Rate*Calculations!L$7</f>
        <v>429645.929437308</v>
      </c>
      <c r="M43" s="32" t="n">
        <f aca="false">L46*Interest_Rate*Calculations!M$7</f>
        <v>339087.789517374</v>
      </c>
      <c r="N43" s="32" t="n">
        <f aca="false">M46*Interest_Rate*Calculations!N$7</f>
        <v>238115.463506647</v>
      </c>
      <c r="O43" s="32" t="n">
        <f aca="false">N46*Interest_Rate*Calculations!O$7</f>
        <v>125531.320004686</v>
      </c>
      <c r="P43" s="32" t="n">
        <f aca="false">O46*Interest_Rate*Calculations!P$7</f>
        <v>0</v>
      </c>
      <c r="Q43" s="32" t="n">
        <f aca="false">P46*Interest_Rate*Calculations!Q$7</f>
        <v>0</v>
      </c>
      <c r="R43" s="32" t="n">
        <f aca="false">Q46*Interest_Rate*Calculations!R$7</f>
        <v>0</v>
      </c>
      <c r="S43" s="32" t="n">
        <f aca="false">R46*Interest_Rate*Calculations!S$7</f>
        <v>0</v>
      </c>
      <c r="T43" s="32" t="n">
        <f aca="false">S46*Interest_Rate*Calculations!T$7</f>
        <v>0</v>
      </c>
      <c r="U43" s="32" t="n">
        <f aca="false">T46*Interest_Rate*Calculations!U$7</f>
        <v>0</v>
      </c>
      <c r="V43" s="32" t="n">
        <f aca="false">U46*Interest_Rate*Calculations!V$7</f>
        <v>0</v>
      </c>
      <c r="W43" s="32" t="n">
        <f aca="false">V46*Interest_Rate*Calculations!W$7</f>
        <v>0</v>
      </c>
      <c r="X43" s="32" t="n">
        <f aca="false">W46*Interest_Rate*Calculations!X$7</f>
        <v>0</v>
      </c>
      <c r="Y43" s="32" t="n">
        <f aca="false">X46*Interest_Rate*Calculations!Y$7</f>
        <v>0</v>
      </c>
      <c r="Z43" s="32" t="n">
        <f aca="false">Y46*Interest_Rate*Calculations!Z$7</f>
        <v>0</v>
      </c>
      <c r="AA43" s="32" t="n">
        <f aca="false">Z46*Interest_Rate*Calculations!AA$7</f>
        <v>0</v>
      </c>
      <c r="AB43" s="32" t="n">
        <f aca="false">AA46*Interest_Rate*Calculations!AB$7</f>
        <v>0</v>
      </c>
      <c r="AC43" s="32" t="n">
        <f aca="false">AB46*Interest_Rate*Calculations!AC$7</f>
        <v>0</v>
      </c>
      <c r="AD43" s="32" t="n">
        <f aca="false">AC46*Interest_Rate*Calculations!AD$7</f>
        <v>0</v>
      </c>
    </row>
    <row r="44" customFormat="false" ht="15" hidden="false" customHeight="false" outlineLevel="1" collapsed="false">
      <c r="B44" s="4" t="s">
        <v>177</v>
      </c>
      <c r="C44" s="24" t="s">
        <v>120</v>
      </c>
      <c r="F44" s="32" t="n">
        <f aca="false">$D$39*Calculations!F$7</f>
        <v>1217108.01569761</v>
      </c>
      <c r="G44" s="32" t="n">
        <f aca="false">$D$39*Calculations!G$7</f>
        <v>1217108.01569761</v>
      </c>
      <c r="H44" s="32" t="n">
        <f aca="false">$D$39*Calculations!H$7</f>
        <v>1217108.01569761</v>
      </c>
      <c r="I44" s="32" t="n">
        <f aca="false">$D$39*Calculations!I$7</f>
        <v>1217108.01569761</v>
      </c>
      <c r="J44" s="32" t="n">
        <f aca="false">$D$39*Calculations!J$7</f>
        <v>1217108.01569761</v>
      </c>
      <c r="K44" s="32" t="n">
        <f aca="false">$D$39*Calculations!K$7</f>
        <v>1217108.01569761</v>
      </c>
      <c r="L44" s="32" t="n">
        <f aca="false">$D$39*Calculations!L$7</f>
        <v>1217108.01569761</v>
      </c>
      <c r="M44" s="32" t="n">
        <f aca="false">$D$39*Calculations!M$7</f>
        <v>1217108.01569761</v>
      </c>
      <c r="N44" s="32" t="n">
        <f aca="false">$D$39*Calculations!N$7</f>
        <v>1217108.01569761</v>
      </c>
      <c r="O44" s="32" t="n">
        <f aca="false">$D$39*Calculations!O$7</f>
        <v>1217108.01569761</v>
      </c>
      <c r="P44" s="32" t="n">
        <f aca="false">$D$39*Calculations!P$7</f>
        <v>0</v>
      </c>
      <c r="Q44" s="32" t="n">
        <f aca="false">$D$39*Calculations!Q$7</f>
        <v>0</v>
      </c>
      <c r="R44" s="32" t="n">
        <f aca="false">$D$39*Calculations!R$7</f>
        <v>0</v>
      </c>
      <c r="S44" s="32" t="n">
        <f aca="false">$D$39*Calculations!S$7</f>
        <v>0</v>
      </c>
      <c r="T44" s="32" t="n">
        <f aca="false">$D$39*Calculations!T$7</f>
        <v>0</v>
      </c>
      <c r="U44" s="32" t="n">
        <f aca="false">$D$39*Calculations!U$7</f>
        <v>0</v>
      </c>
      <c r="V44" s="32" t="n">
        <f aca="false">$D$39*Calculations!V$7</f>
        <v>0</v>
      </c>
      <c r="W44" s="32" t="n">
        <f aca="false">$D$39*Calculations!W$7</f>
        <v>0</v>
      </c>
      <c r="X44" s="32" t="n">
        <f aca="false">$D$39*Calculations!X$7</f>
        <v>0</v>
      </c>
      <c r="Y44" s="32" t="n">
        <f aca="false">$D$39*Calculations!Y$7</f>
        <v>0</v>
      </c>
      <c r="Z44" s="32" t="n">
        <f aca="false">$D$39*Calculations!Z$7</f>
        <v>0</v>
      </c>
      <c r="AA44" s="32" t="n">
        <f aca="false">$D$39*Calculations!AA$7</f>
        <v>0</v>
      </c>
      <c r="AB44" s="32" t="n">
        <f aca="false">$D$39*Calculations!AB$7</f>
        <v>0</v>
      </c>
      <c r="AC44" s="32" t="n">
        <f aca="false">$D$39*Calculations!AC$7</f>
        <v>0</v>
      </c>
      <c r="AD44" s="32" t="n">
        <f aca="false">$D$39*Calculations!AD$7</f>
        <v>0</v>
      </c>
    </row>
    <row r="45" customFormat="false" ht="15" hidden="false" customHeight="false" outlineLevel="1" collapsed="false">
      <c r="B45" s="4" t="s">
        <v>275</v>
      </c>
      <c r="C45" s="24" t="s">
        <v>120</v>
      </c>
      <c r="F45" s="32" t="n">
        <f aca="false">F44-F43</f>
        <v>409808.015697608</v>
      </c>
      <c r="G45" s="32" t="n">
        <f aca="false">G44-G43</f>
        <v>456935.937502833</v>
      </c>
      <c r="H45" s="32" t="n">
        <f aca="false">H44-H43</f>
        <v>509483.570315658</v>
      </c>
      <c r="I45" s="32" t="n">
        <f aca="false">I44-I43</f>
        <v>568074.180901959</v>
      </c>
      <c r="J45" s="32" t="n">
        <f aca="false">J44-J43</f>
        <v>633402.711705684</v>
      </c>
      <c r="K45" s="32" t="n">
        <f aca="false">K44-K43</f>
        <v>706244.023551838</v>
      </c>
      <c r="L45" s="32" t="n">
        <f aca="false">L44-L43</f>
        <v>787462.086260299</v>
      </c>
      <c r="M45" s="32" t="n">
        <f aca="false">M44-M43</f>
        <v>878020.226180234</v>
      </c>
      <c r="N45" s="32" t="n">
        <f aca="false">N44-N43</f>
        <v>978992.552190961</v>
      </c>
      <c r="O45" s="32" t="n">
        <f aca="false">O44-O43</f>
        <v>1091576.69569292</v>
      </c>
      <c r="P45" s="32" t="n">
        <f aca="false">P44-P43</f>
        <v>0</v>
      </c>
      <c r="Q45" s="32" t="n">
        <f aca="false">Q44-Q43</f>
        <v>0</v>
      </c>
      <c r="R45" s="32" t="n">
        <f aca="false">R44-R43</f>
        <v>0</v>
      </c>
      <c r="S45" s="32" t="n">
        <f aca="false">S44-S43</f>
        <v>0</v>
      </c>
      <c r="T45" s="32" t="n">
        <f aca="false">T44-T43</f>
        <v>0</v>
      </c>
      <c r="U45" s="32" t="n">
        <f aca="false">U44-U43</f>
        <v>0</v>
      </c>
      <c r="V45" s="32" t="n">
        <f aca="false">V44-V43</f>
        <v>0</v>
      </c>
      <c r="W45" s="32" t="n">
        <f aca="false">W44-W43</f>
        <v>0</v>
      </c>
      <c r="X45" s="32" t="n">
        <f aca="false">X44-X43</f>
        <v>0</v>
      </c>
      <c r="Y45" s="32" t="n">
        <f aca="false">Y44-Y43</f>
        <v>0</v>
      </c>
      <c r="Z45" s="32" t="n">
        <f aca="false">Z44-Z43</f>
        <v>0</v>
      </c>
      <c r="AA45" s="32" t="n">
        <f aca="false">AA44-AA43</f>
        <v>0</v>
      </c>
      <c r="AB45" s="32" t="n">
        <f aca="false">AB44-AB43</f>
        <v>0</v>
      </c>
      <c r="AC45" s="32" t="n">
        <f aca="false">AC44-AC43</f>
        <v>0</v>
      </c>
      <c r="AD45" s="32" t="n">
        <f aca="false">AD44-AD43</f>
        <v>0</v>
      </c>
    </row>
    <row r="46" customFormat="false" ht="15" hidden="false" customHeight="false" outlineLevel="1" collapsed="false">
      <c r="B46" s="4" t="s">
        <v>276</v>
      </c>
      <c r="C46" s="24" t="s">
        <v>120</v>
      </c>
      <c r="E46" s="32" t="n">
        <f aca="false">$D$38</f>
        <v>7020000</v>
      </c>
      <c r="F46" s="32" t="n">
        <f aca="false">E46-F45</f>
        <v>6610191.98430239</v>
      </c>
      <c r="G46" s="32" t="n">
        <f aca="false">F46-G45</f>
        <v>6153256.04679956</v>
      </c>
      <c r="H46" s="32" t="n">
        <f aca="false">G46-H45</f>
        <v>5643772.4764839</v>
      </c>
      <c r="I46" s="32" t="n">
        <f aca="false">H46-I45</f>
        <v>5075698.29558194</v>
      </c>
      <c r="J46" s="32" t="n">
        <f aca="false">I46-J45</f>
        <v>4442295.58387626</v>
      </c>
      <c r="K46" s="32" t="n">
        <f aca="false">J46-K45</f>
        <v>3736051.56032442</v>
      </c>
      <c r="L46" s="32" t="n">
        <f aca="false">K46-L45</f>
        <v>2948589.47406412</v>
      </c>
      <c r="M46" s="32" t="n">
        <f aca="false">L46-M45</f>
        <v>2070569.24788389</v>
      </c>
      <c r="N46" s="32" t="n">
        <f aca="false">M46-N45</f>
        <v>1091576.69569293</v>
      </c>
      <c r="O46" s="32" t="n">
        <f aca="false">N46-O45</f>
        <v>3.95812094211578E-009</v>
      </c>
      <c r="P46" s="32" t="n">
        <f aca="false">O46-P45</f>
        <v>3.95812094211578E-009</v>
      </c>
      <c r="Q46" s="32" t="n">
        <f aca="false">P46-Q45</f>
        <v>3.95812094211578E-009</v>
      </c>
      <c r="R46" s="32" t="n">
        <f aca="false">Q46-R45</f>
        <v>3.95812094211578E-009</v>
      </c>
      <c r="S46" s="32" t="n">
        <f aca="false">R46-S45</f>
        <v>3.95812094211578E-009</v>
      </c>
      <c r="T46" s="32" t="n">
        <f aca="false">S46-T45</f>
        <v>3.95812094211578E-009</v>
      </c>
      <c r="U46" s="32" t="n">
        <f aca="false">T46-U45</f>
        <v>3.95812094211578E-009</v>
      </c>
      <c r="V46" s="32" t="n">
        <f aca="false">U46-V45</f>
        <v>3.95812094211578E-009</v>
      </c>
      <c r="W46" s="32" t="n">
        <f aca="false">V46-W45</f>
        <v>3.95812094211578E-009</v>
      </c>
      <c r="X46" s="32" t="n">
        <f aca="false">W46-X45</f>
        <v>3.95812094211578E-009</v>
      </c>
      <c r="Y46" s="32" t="n">
        <f aca="false">X46-Y45</f>
        <v>3.95812094211578E-009</v>
      </c>
      <c r="Z46" s="32" t="n">
        <f aca="false">Y46-Z45</f>
        <v>3.95812094211578E-009</v>
      </c>
      <c r="AA46" s="32" t="n">
        <f aca="false">Z46-AA45</f>
        <v>3.95812094211578E-009</v>
      </c>
      <c r="AB46" s="32" t="n">
        <f aca="false">AA46-AB45</f>
        <v>3.95812094211578E-009</v>
      </c>
      <c r="AC46" s="32" t="n">
        <f aca="false">AB46-AC45</f>
        <v>3.95812094211578E-009</v>
      </c>
      <c r="AD46" s="32" t="n">
        <f aca="false">AC46-AD45</f>
        <v>3.95812094211578E-009</v>
      </c>
    </row>
    <row r="47" customFormat="false" ht="15" hidden="false" customHeight="false" outlineLevel="1" collapsed="false">
      <c r="B47" s="4" t="s">
        <v>277</v>
      </c>
      <c r="C47" s="24" t="s">
        <v>120</v>
      </c>
      <c r="F47" s="32" t="n">
        <f aca="false">Calculations!F$20*$D$36</f>
        <v>10800000</v>
      </c>
      <c r="G47" s="32" t="n">
        <f aca="false">Calculations!G$20*$D$36</f>
        <v>0</v>
      </c>
      <c r="H47" s="32" t="n">
        <f aca="false">Calculations!H$20*$D$36</f>
        <v>0</v>
      </c>
      <c r="I47" s="32" t="n">
        <f aca="false">Calculations!I$20*$D$36</f>
        <v>0</v>
      </c>
      <c r="J47" s="32" t="n">
        <f aca="false">Calculations!J$20*$D$36</f>
        <v>0</v>
      </c>
      <c r="K47" s="32" t="n">
        <f aca="false">Calculations!K$20*$D$36</f>
        <v>0</v>
      </c>
      <c r="L47" s="32" t="n">
        <f aca="false">Calculations!L$20*$D$36</f>
        <v>0</v>
      </c>
      <c r="M47" s="32" t="n">
        <f aca="false">Calculations!M$20*$D$36</f>
        <v>0</v>
      </c>
      <c r="N47" s="32" t="n">
        <f aca="false">Calculations!N$20*$D$36</f>
        <v>0</v>
      </c>
      <c r="O47" s="32" t="n">
        <f aca="false">Calculations!O$20*$D$36</f>
        <v>0</v>
      </c>
      <c r="P47" s="32" t="n">
        <f aca="false">Calculations!P$20*$D$36</f>
        <v>0</v>
      </c>
      <c r="Q47" s="32" t="n">
        <f aca="false">Calculations!Q$20*$D$36</f>
        <v>0</v>
      </c>
      <c r="R47" s="32" t="n">
        <f aca="false">Calculations!R$20*$D$36</f>
        <v>0</v>
      </c>
      <c r="S47" s="32" t="n">
        <f aca="false">Calculations!S$20*$D$36</f>
        <v>0</v>
      </c>
      <c r="T47" s="32" t="n">
        <f aca="false">Calculations!T$20*$D$36</f>
        <v>0</v>
      </c>
      <c r="U47" s="32" t="n">
        <f aca="false">Calculations!U$20*$D$36</f>
        <v>0</v>
      </c>
      <c r="V47" s="32" t="n">
        <f aca="false">Calculations!V$20*$D$36</f>
        <v>0</v>
      </c>
      <c r="W47" s="32" t="n">
        <f aca="false">Calculations!W$20*$D$36</f>
        <v>0</v>
      </c>
      <c r="X47" s="32" t="n">
        <f aca="false">Calculations!X$20*$D$36</f>
        <v>0</v>
      </c>
      <c r="Y47" s="32" t="n">
        <f aca="false">Calculations!Y$20*$D$36</f>
        <v>0</v>
      </c>
      <c r="Z47" s="32" t="n">
        <f aca="false">Calculations!Z$20*$D$36</f>
        <v>0</v>
      </c>
      <c r="AA47" s="32" t="n">
        <f aca="false">Calculations!AA$20*$D$36</f>
        <v>0</v>
      </c>
      <c r="AB47" s="32" t="n">
        <f aca="false">Calculations!AB$20*$D$36</f>
        <v>0</v>
      </c>
      <c r="AC47" s="32" t="n">
        <f aca="false">Calculations!AC$20*$D$36</f>
        <v>0</v>
      </c>
      <c r="AD47" s="32" t="n">
        <f aca="false">Calculations!AD$20*$D$36</f>
        <v>0</v>
      </c>
    </row>
    <row r="48" customFormat="false" ht="15" hidden="false" customHeight="false" outlineLevel="1" collapsed="false">
      <c r="B48" s="4" t="s">
        <v>169</v>
      </c>
      <c r="C48" s="24" t="s">
        <v>120</v>
      </c>
      <c r="F48" s="32" t="n">
        <f aca="false">F42-F43-F47</f>
        <v>-10079550</v>
      </c>
      <c r="G48" s="32" t="n">
        <f aca="false">G42-G43-G47</f>
        <v>843495.790555225</v>
      </c>
      <c r="H48" s="32" t="n">
        <f aca="false">H42-H43-H47</f>
        <v>975733.833141644</v>
      </c>
      <c r="I48" s="32" t="n">
        <f aca="false">I42-I43-I47</f>
        <v>1117974.86037753</v>
      </c>
      <c r="J48" s="32" t="n">
        <f aca="false">J42-J43-J47</f>
        <v>1271110.59611124</v>
      </c>
      <c r="K48" s="32" t="n">
        <f aca="false">K42-K43-K47</f>
        <v>1436122.46103065</v>
      </c>
      <c r="L48" s="32" t="n">
        <f aca="false">L42-L43-L47</f>
        <v>1614091.24918597</v>
      </c>
      <c r="M48" s="32" t="n">
        <f aca="false">M42-M43-M47</f>
        <v>1806207.88557873</v>
      </c>
      <c r="N48" s="32" t="n">
        <f aca="false">N42-N43-N47</f>
        <v>2013785.38756269</v>
      </c>
      <c r="O48" s="32" t="n">
        <f aca="false">O42-O43-O47</f>
        <v>2238272.1668396</v>
      </c>
      <c r="P48" s="32" t="n">
        <f aca="false">P42-P43-P47</f>
        <v>2481266.82448093</v>
      </c>
      <c r="Q48" s="32" t="n">
        <f aca="false">Q42-Q43-Q47</f>
        <v>2604567.18704422</v>
      </c>
      <c r="R48" s="32" t="n">
        <f aca="false">R42-R43-R47</f>
        <v>2733994.62862177</v>
      </c>
      <c r="S48" s="32" t="n">
        <f aca="false">S42-S43-S47</f>
        <v>2869853.61664185</v>
      </c>
      <c r="T48" s="32" t="n">
        <f aca="false">T42-T43-T47</f>
        <v>3012463.74809682</v>
      </c>
      <c r="U48" s="32" t="n">
        <f aca="false">U42-U43-U47</f>
        <v>3162160.50135676</v>
      </c>
      <c r="V48" s="32" t="n">
        <f aca="false">V42-V43-V47</f>
        <v>3319296.02534184</v>
      </c>
      <c r="W48" s="32" t="n">
        <f aca="false">W42-W43-W47</f>
        <v>3484239.96790984</v>
      </c>
      <c r="X48" s="32" t="n">
        <f aca="false">X42-X43-X47</f>
        <v>3657380.34540743</v>
      </c>
      <c r="Y48" s="32" t="n">
        <f aca="false">Y42-Y43-Y47</f>
        <v>3839124.45543074</v>
      </c>
      <c r="Z48" s="32" t="n">
        <f aca="false">Z42-Z43-Z47</f>
        <v>0</v>
      </c>
      <c r="AA48" s="32" t="n">
        <f aca="false">AA42-AA43-AA47</f>
        <v>0</v>
      </c>
      <c r="AB48" s="32" t="n">
        <f aca="false">AB42-AB43-AB47</f>
        <v>0</v>
      </c>
      <c r="AC48" s="32" t="n">
        <f aca="false">AC42-AC43-AC47</f>
        <v>0</v>
      </c>
      <c r="AD48" s="32" t="n">
        <f aca="false">AD42-AD43-AD47</f>
        <v>0</v>
      </c>
    </row>
    <row r="49" customFormat="false" ht="15" hidden="false" customHeight="false" outlineLevel="1" collapsed="false">
      <c r="B49" s="4" t="s">
        <v>172</v>
      </c>
      <c r="C49" s="24" t="s">
        <v>120</v>
      </c>
      <c r="F49" s="32" t="n">
        <f aca="false">MAX(0,E49-F48)</f>
        <v>10079550</v>
      </c>
      <c r="G49" s="32" t="n">
        <f aca="false">MAX(0,F49-G48)</f>
        <v>9236054.20944477</v>
      </c>
      <c r="H49" s="32" t="n">
        <f aca="false">MAX(0,G49-H48)</f>
        <v>8260320.37630313</v>
      </c>
      <c r="I49" s="32" t="n">
        <f aca="false">MAX(0,H49-I48)</f>
        <v>7142345.5159256</v>
      </c>
      <c r="J49" s="32" t="n">
        <f aca="false">MAX(0,I49-J48)</f>
        <v>5871234.91981436</v>
      </c>
      <c r="K49" s="32" t="n">
        <f aca="false">MAX(0,J49-K48)</f>
        <v>4435112.45878371</v>
      </c>
      <c r="L49" s="32" t="n">
        <f aca="false">MAX(0,K49-L48)</f>
        <v>2821021.20959774</v>
      </c>
      <c r="M49" s="32" t="n">
        <f aca="false">MAX(0,L49-M48)</f>
        <v>1014813.32401901</v>
      </c>
      <c r="N49" s="32" t="n">
        <f aca="false">MAX(0,M49-N48)</f>
        <v>0</v>
      </c>
      <c r="O49" s="32" t="n">
        <f aca="false">MAX(0,N49-O48)</f>
        <v>0</v>
      </c>
      <c r="P49" s="32" t="n">
        <f aca="false">MAX(0,O49-P48)</f>
        <v>0</v>
      </c>
      <c r="Q49" s="32" t="n">
        <f aca="false">MAX(0,P49-Q48)</f>
        <v>0</v>
      </c>
      <c r="R49" s="32" t="n">
        <f aca="false">MAX(0,Q49-R48)</f>
        <v>0</v>
      </c>
      <c r="S49" s="32" t="n">
        <f aca="false">MAX(0,R49-S48)</f>
        <v>0</v>
      </c>
      <c r="T49" s="32" t="n">
        <f aca="false">MAX(0,S49-T48)</f>
        <v>0</v>
      </c>
      <c r="U49" s="32" t="n">
        <f aca="false">MAX(0,T49-U48)</f>
        <v>0</v>
      </c>
      <c r="V49" s="32" t="n">
        <f aca="false">MAX(0,U49-V48)</f>
        <v>0</v>
      </c>
      <c r="W49" s="32" t="n">
        <f aca="false">MAX(0,V49-W48)</f>
        <v>0</v>
      </c>
      <c r="X49" s="32" t="n">
        <f aca="false">MAX(0,W49-X48)</f>
        <v>0</v>
      </c>
      <c r="Y49" s="32" t="n">
        <f aca="false">MAX(0,X49-Y48)</f>
        <v>0</v>
      </c>
      <c r="Z49" s="32" t="n">
        <f aca="false">MAX(0,Y49-Z48)</f>
        <v>0</v>
      </c>
      <c r="AA49" s="32" t="n">
        <f aca="false">MAX(0,Z49-AA48)</f>
        <v>0</v>
      </c>
      <c r="AB49" s="32" t="n">
        <f aca="false">MAX(0,AA49-AB48)</f>
        <v>0</v>
      </c>
      <c r="AC49" s="32" t="n">
        <f aca="false">MAX(0,AB49-AC48)</f>
        <v>0</v>
      </c>
      <c r="AD49" s="32" t="n">
        <f aca="false">MAX(0,AC49-AD48)</f>
        <v>0</v>
      </c>
    </row>
    <row r="50" customFormat="false" ht="15" hidden="false" customHeight="false" outlineLevel="1" collapsed="false">
      <c r="B50" s="4" t="s">
        <v>173</v>
      </c>
      <c r="C50" s="24" t="s">
        <v>120</v>
      </c>
      <c r="F50" s="32" t="n">
        <f aca="false">Tax_Rate*MAX(0,F48-E49)</f>
        <v>0</v>
      </c>
      <c r="G50" s="32" t="n">
        <f aca="false">Tax_Rate*MAX(0,G48-F49)</f>
        <v>0</v>
      </c>
      <c r="H50" s="32" t="n">
        <f aca="false">Tax_Rate*MAX(0,H48-G49)</f>
        <v>0</v>
      </c>
      <c r="I50" s="32" t="n">
        <f aca="false">Tax_Rate*MAX(0,I48-H49)</f>
        <v>0</v>
      </c>
      <c r="J50" s="32" t="n">
        <f aca="false">Tax_Rate*MAX(0,J48-I49)</f>
        <v>0</v>
      </c>
      <c r="K50" s="32" t="n">
        <f aca="false">Tax_Rate*MAX(0,K48-J49)</f>
        <v>0</v>
      </c>
      <c r="L50" s="32" t="n">
        <f aca="false">Tax_Rate*MAX(0,L48-K49)</f>
        <v>0</v>
      </c>
      <c r="M50" s="32" t="n">
        <f aca="false">Tax_Rate*MAX(0,M48-L49)</f>
        <v>0</v>
      </c>
      <c r="N50" s="32" t="n">
        <f aca="false">Tax_Rate*MAX(0,N48-M49)</f>
        <v>269722.457156793</v>
      </c>
      <c r="O50" s="32" t="n">
        <f aca="false">Tax_Rate*MAX(0,O48-N49)</f>
        <v>604333.485046693</v>
      </c>
      <c r="P50" s="32" t="n">
        <f aca="false">Tax_Rate*MAX(0,P48-O49)</f>
        <v>669942.042609852</v>
      </c>
      <c r="Q50" s="32" t="n">
        <f aca="false">Tax_Rate*MAX(0,Q48-P49)</f>
        <v>703233.14050194</v>
      </c>
      <c r="R50" s="32" t="n">
        <f aca="false">Tax_Rate*MAX(0,R48-Q49)</f>
        <v>738178.549727878</v>
      </c>
      <c r="S50" s="32" t="n">
        <f aca="false">Tax_Rate*MAX(0,S48-R49)</f>
        <v>774860.476493299</v>
      </c>
      <c r="T50" s="32" t="n">
        <f aca="false">Tax_Rate*MAX(0,T48-S49)</f>
        <v>813365.211986141</v>
      </c>
      <c r="U50" s="32" t="n">
        <f aca="false">Tax_Rate*MAX(0,U48-T49)</f>
        <v>853783.335366326</v>
      </c>
      <c r="V50" s="32" t="n">
        <f aca="false">Tax_Rate*MAX(0,V48-U49)</f>
        <v>896209.926842298</v>
      </c>
      <c r="W50" s="32" t="n">
        <f aca="false">Tax_Rate*MAX(0,W48-V49)</f>
        <v>940744.791335658</v>
      </c>
      <c r="X50" s="32" t="n">
        <f aca="false">Tax_Rate*MAX(0,X48-W49)</f>
        <v>987492.693260006</v>
      </c>
      <c r="Y50" s="32" t="n">
        <f aca="false">Tax_Rate*MAX(0,Y48-X49)</f>
        <v>1036563.6029663</v>
      </c>
      <c r="Z50" s="32" t="n">
        <f aca="false">Tax_Rate*MAX(0,Z48-Y49)</f>
        <v>0</v>
      </c>
      <c r="AA50" s="32" t="n">
        <f aca="false">Tax_Rate*MAX(0,AA48-Z49)</f>
        <v>0</v>
      </c>
      <c r="AB50" s="32" t="n">
        <f aca="false">Tax_Rate*MAX(0,AB48-AA49)</f>
        <v>0</v>
      </c>
      <c r="AC50" s="32" t="n">
        <f aca="false">Tax_Rate*MAX(0,AC48-AB49)</f>
        <v>0</v>
      </c>
      <c r="AD50" s="32" t="n">
        <f aca="false">Tax_Rate*MAX(0,AD48-AC49)</f>
        <v>0</v>
      </c>
    </row>
    <row r="51" customFormat="false" ht="15" hidden="false" customHeight="false" outlineLevel="1" collapsed="false">
      <c r="B51" s="4" t="s">
        <v>176</v>
      </c>
      <c r="C51" s="24" t="s">
        <v>120</v>
      </c>
      <c r="F51" s="32" t="n">
        <f aca="false">F42-F50</f>
        <v>1527750</v>
      </c>
      <c r="G51" s="32" t="n">
        <f aca="false">G42-G50</f>
        <v>1603667.86875</v>
      </c>
      <c r="H51" s="32" t="n">
        <f aca="false">H42-H50</f>
        <v>1683358.27852359</v>
      </c>
      <c r="I51" s="32" t="n">
        <f aca="false">I42-I50</f>
        <v>1767008.69517318</v>
      </c>
      <c r="J51" s="32" t="n">
        <f aca="false">J42-J50</f>
        <v>1854815.90010317</v>
      </c>
      <c r="K51" s="32" t="n">
        <f aca="false">K42-K50</f>
        <v>1946986.45317642</v>
      </c>
      <c r="L51" s="32" t="n">
        <f aca="false">L42-L50</f>
        <v>2043737.17862327</v>
      </c>
      <c r="M51" s="32" t="n">
        <f aca="false">M42-M50</f>
        <v>2145295.6750961</v>
      </c>
      <c r="N51" s="32" t="n">
        <f aca="false">N42-N50</f>
        <v>1982178.39391254</v>
      </c>
      <c r="O51" s="32" t="n">
        <f aca="false">O42-O50</f>
        <v>1759470.0017976</v>
      </c>
      <c r="P51" s="32" t="n">
        <f aca="false">P42-P50</f>
        <v>1811324.78187108</v>
      </c>
      <c r="Q51" s="32" t="n">
        <f aca="false">Q42-Q50</f>
        <v>1901334.04654228</v>
      </c>
      <c r="R51" s="32" t="n">
        <f aca="false">R42-R50</f>
        <v>1995816.07889389</v>
      </c>
      <c r="S51" s="32" t="n">
        <f aca="false">S42-S50</f>
        <v>2094993.14014855</v>
      </c>
      <c r="T51" s="32" t="n">
        <f aca="false">T42-T50</f>
        <v>2199098.53611068</v>
      </c>
      <c r="U51" s="32" t="n">
        <f aca="false">U42-U50</f>
        <v>2308377.16599044</v>
      </c>
      <c r="V51" s="32" t="n">
        <f aca="false">V42-V50</f>
        <v>2423086.09849955</v>
      </c>
      <c r="W51" s="32" t="n">
        <f aca="false">W42-W50</f>
        <v>2543495.17657418</v>
      </c>
      <c r="X51" s="32" t="n">
        <f aca="false">X42-X50</f>
        <v>2669887.65214742</v>
      </c>
      <c r="Y51" s="32" t="n">
        <f aca="false">Y42-Y50</f>
        <v>2802560.85246444</v>
      </c>
      <c r="Z51" s="32" t="n">
        <f aca="false">Z42-Z50</f>
        <v>0</v>
      </c>
      <c r="AA51" s="32" t="n">
        <f aca="false">AA42-AA50</f>
        <v>0</v>
      </c>
      <c r="AB51" s="32" t="n">
        <f aca="false">AB42-AB50</f>
        <v>0</v>
      </c>
      <c r="AC51" s="32" t="n">
        <f aca="false">AC42-AC50</f>
        <v>0</v>
      </c>
      <c r="AD51" s="32" t="n">
        <f aca="false">AD42-AD50</f>
        <v>0</v>
      </c>
    </row>
    <row r="52" customFormat="false" ht="15" hidden="false" customHeight="false" outlineLevel="1" collapsed="false">
      <c r="B52" s="4" t="s">
        <v>278</v>
      </c>
      <c r="C52" s="24" t="s">
        <v>111</v>
      </c>
      <c r="F52" s="62" t="n">
        <f aca="false">IF(AND(Calculations!F$7=1,F44&gt;0),F51/F44,"")</f>
        <v>1.25522959367279</v>
      </c>
      <c r="G52" s="62" t="n">
        <f aca="false">IF(AND(Calculations!G$7=1,G44&gt;0),G51/G44,"")</f>
        <v>1.31760521503987</v>
      </c>
      <c r="H52" s="62" t="n">
        <f aca="false">IF(AND(Calculations!H$7=1,H44&gt;0),H51/H44,"")</f>
        <v>1.38308043067052</v>
      </c>
      <c r="I52" s="62" t="n">
        <f aca="false">IF(AND(Calculations!I$7=1,I44&gt;0),I51/I44,"")</f>
        <v>1.45180926621405</v>
      </c>
      <c r="J52" s="62" t="n">
        <f aca="false">IF(AND(Calculations!J$7=1,J44&gt;0),J51/J44,"")</f>
        <v>1.52395340116139</v>
      </c>
      <c r="K52" s="62" t="n">
        <f aca="false">IF(AND(Calculations!K$7=1,K44&gt;0),K51/K44,"")</f>
        <v>1.59968254917824</v>
      </c>
      <c r="L52" s="62" t="n">
        <f aca="false">IF(AND(Calculations!L$7=1,L44&gt;0),L51/L44,"")</f>
        <v>1.67917485733743</v>
      </c>
      <c r="M52" s="62" t="n">
        <f aca="false">IF(AND(Calculations!M$7=1,M44&gt;0),M51/M44,"")</f>
        <v>1.7626173251899</v>
      </c>
      <c r="N52" s="62" t="n">
        <f aca="false">IF(AND(Calculations!N$7=1,N44&gt;0),N51/N44,"")</f>
        <v>1.62859694320263</v>
      </c>
      <c r="O52" s="62" t="n">
        <f aca="false">IF(AND(Calculations!O$7=1,O44&gt;0),O51/O44,"")</f>
        <v>1.44561532674577</v>
      </c>
      <c r="P52" s="62" t="str">
        <f aca="false">IF(AND(Calculations!P$7=1,P44&gt;0),P51/P44,"")</f>
        <v/>
      </c>
      <c r="Q52" s="62" t="str">
        <f aca="false">IF(AND(Calculations!Q$7=1,Q44&gt;0),Q51/Q44,"")</f>
        <v/>
      </c>
      <c r="R52" s="62" t="str">
        <f aca="false">IF(AND(Calculations!R$7=1,R44&gt;0),R51/R44,"")</f>
        <v/>
      </c>
      <c r="S52" s="62" t="str">
        <f aca="false">IF(AND(Calculations!S$7=1,S44&gt;0),S51/S44,"")</f>
        <v/>
      </c>
      <c r="T52" s="62" t="str">
        <f aca="false">IF(AND(Calculations!T$7=1,T44&gt;0),T51/T44,"")</f>
        <v/>
      </c>
      <c r="U52" s="62" t="str">
        <f aca="false">IF(AND(Calculations!U$7=1,U44&gt;0),U51/U44,"")</f>
        <v/>
      </c>
      <c r="V52" s="62" t="str">
        <f aca="false">IF(AND(Calculations!V$7=1,V44&gt;0),V51/V44,"")</f>
        <v/>
      </c>
      <c r="W52" s="62" t="str">
        <f aca="false">IF(AND(Calculations!W$7=1,W44&gt;0),W51/W44,"")</f>
        <v/>
      </c>
      <c r="X52" s="62" t="str">
        <f aca="false">IF(AND(Calculations!X$7=1,X44&gt;0),X51/X44,"")</f>
        <v/>
      </c>
      <c r="Y52" s="62" t="str">
        <f aca="false">IF(AND(Calculations!Y$7=1,Y44&gt;0),Y51/Y44,"")</f>
        <v/>
      </c>
      <c r="Z52" s="62" t="str">
        <f aca="false">IF(AND(Calculations!Z$7=1,Z44&gt;0),Z51/Z44,"")</f>
        <v/>
      </c>
      <c r="AA52" s="62" t="str">
        <f aca="false">IF(AND(Calculations!AA$7=1,AA44&gt;0),AA51/AA44,"")</f>
        <v/>
      </c>
      <c r="AB52" s="62" t="str">
        <f aca="false">IF(AND(Calculations!AB$7=1,AB44&gt;0),AB51/AB44,"")</f>
        <v/>
      </c>
      <c r="AC52" s="62" t="str">
        <f aca="false">IF(AND(Calculations!AC$7=1,AC44&gt;0),AC51/AC44,"")</f>
        <v/>
      </c>
      <c r="AD52" s="62" t="str">
        <f aca="false">IF(AND(Calculations!AD$7=1,AD44&gt;0),AD51/AD44,"")</f>
        <v/>
      </c>
    </row>
    <row r="53" customFormat="false" ht="15" hidden="false" customHeight="false" outlineLevel="1" collapsed="false">
      <c r="B53" s="4" t="s">
        <v>182</v>
      </c>
      <c r="C53" s="24" t="s">
        <v>120</v>
      </c>
      <c r="E53" s="32" t="n">
        <f aca="false">-($D$37-$D$38)</f>
        <v>-3780000</v>
      </c>
      <c r="F53" s="32" t="n">
        <f aca="false">F51-F44</f>
        <v>310641.984302392</v>
      </c>
      <c r="G53" s="32" t="n">
        <f aca="false">G51-G44</f>
        <v>386559.853052392</v>
      </c>
      <c r="H53" s="32" t="n">
        <f aca="false">H51-H44</f>
        <v>466250.262825986</v>
      </c>
      <c r="I53" s="32" t="n">
        <f aca="false">I51-I44</f>
        <v>549900.679475571</v>
      </c>
      <c r="J53" s="32" t="n">
        <f aca="false">J51-J44</f>
        <v>637707.884405558</v>
      </c>
      <c r="K53" s="32" t="n">
        <f aca="false">K51-K44</f>
        <v>729878.437478812</v>
      </c>
      <c r="L53" s="32" t="n">
        <f aca="false">L51-L44</f>
        <v>826629.162925666</v>
      </c>
      <c r="M53" s="32" t="n">
        <f aca="false">M51-M44</f>
        <v>928187.659398496</v>
      </c>
      <c r="N53" s="32" t="n">
        <f aca="false">N51-N44</f>
        <v>765070.378214936</v>
      </c>
      <c r="O53" s="32" t="n">
        <f aca="false">O51-O44</f>
        <v>542361.98609999</v>
      </c>
      <c r="P53" s="32" t="n">
        <f aca="false">P51-P44</f>
        <v>1811324.78187108</v>
      </c>
      <c r="Q53" s="32" t="n">
        <f aca="false">Q51-Q44</f>
        <v>1901334.04654228</v>
      </c>
      <c r="R53" s="32" t="n">
        <f aca="false">R51-R44</f>
        <v>1995816.07889389</v>
      </c>
      <c r="S53" s="32" t="n">
        <f aca="false">S51-S44</f>
        <v>2094993.14014855</v>
      </c>
      <c r="T53" s="32" t="n">
        <f aca="false">T51-T44</f>
        <v>2199098.53611068</v>
      </c>
      <c r="U53" s="32" t="n">
        <f aca="false">U51-U44</f>
        <v>2308377.16599044</v>
      </c>
      <c r="V53" s="32" t="n">
        <f aca="false">V51-V44</f>
        <v>2423086.09849955</v>
      </c>
      <c r="W53" s="32" t="n">
        <f aca="false">W51-W44</f>
        <v>2543495.17657418</v>
      </c>
      <c r="X53" s="32" t="n">
        <f aca="false">X51-X44</f>
        <v>2669887.65214742</v>
      </c>
      <c r="Y53" s="32" t="n">
        <f aca="false">Y51-Y44</f>
        <v>2802560.85246444</v>
      </c>
      <c r="Z53" s="32" t="n">
        <f aca="false">Z51-Z44</f>
        <v>0</v>
      </c>
      <c r="AA53" s="32" t="n">
        <f aca="false">AA51-AA44</f>
        <v>0</v>
      </c>
      <c r="AB53" s="32" t="n">
        <f aca="false">AB51-AB44</f>
        <v>0</v>
      </c>
      <c r="AC53" s="32" t="n">
        <f aca="false">AC51-AC44</f>
        <v>0</v>
      </c>
      <c r="AD53" s="32" t="n">
        <f aca="false">AD51-AD44</f>
        <v>0</v>
      </c>
    </row>
    <row r="54" customFormat="false" ht="15" hidden="false" customHeight="false" outlineLevel="1" collapsed="false">
      <c r="B54" s="3" t="s">
        <v>208</v>
      </c>
      <c r="C54" s="24" t="s">
        <v>97</v>
      </c>
      <c r="D54" s="76" t="n">
        <f aca="false">IRR(E53:AD53)</f>
        <v>0.196332486092375</v>
      </c>
    </row>
    <row r="55" customFormat="false" ht="15" hidden="false" customHeight="false" outlineLevel="1" collapsed="false">
      <c r="B55" s="3" t="s">
        <v>210</v>
      </c>
      <c r="C55" s="24" t="s">
        <v>111</v>
      </c>
      <c r="D55" s="49" t="n">
        <f aca="false">MIN(F52:AD52)</f>
        <v>1.25522959367279</v>
      </c>
    </row>
    <row r="56" customFormat="false" ht="15" hidden="false" customHeight="false" outlineLevel="1" collapsed="false">
      <c r="B56" s="3" t="s">
        <v>262</v>
      </c>
      <c r="C56" s="24" t="s">
        <v>120</v>
      </c>
      <c r="D56" s="44" t="n">
        <f aca="false">E53+NPV(Equity_Discount_Rate,F53:AD53)</f>
        <v>1232290.531946</v>
      </c>
    </row>
    <row r="58" customFormat="false" ht="15" hidden="false" customHeight="false" outlineLevel="0" collapsed="false">
      <c r="B58" s="21" t="s">
        <v>279</v>
      </c>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row>
    <row r="59" customFormat="false" ht="15" hidden="false" customHeight="false" outlineLevel="1" collapsed="false">
      <c r="B59" s="4" t="s">
        <v>258</v>
      </c>
      <c r="C59" s="24" t="s">
        <v>111</v>
      </c>
      <c r="D59" s="62" t="n">
        <f aca="false">1</f>
        <v>1</v>
      </c>
    </row>
    <row r="60" customFormat="false" ht="15" hidden="false" customHeight="false" outlineLevel="1" collapsed="false">
      <c r="B60" s="4" t="s">
        <v>259</v>
      </c>
      <c r="C60" s="24" t="s">
        <v>111</v>
      </c>
      <c r="D60" s="62" t="n">
        <f aca="false">1-Sens_Capex_Flex</f>
        <v>0.9</v>
      </c>
    </row>
    <row r="61" customFormat="false" ht="15" hidden="false" customHeight="false" outlineLevel="1" collapsed="false">
      <c r="B61" s="4" t="s">
        <v>271</v>
      </c>
      <c r="C61" s="24" t="s">
        <v>120</v>
      </c>
      <c r="D61" s="32" t="n">
        <f aca="false">Capex_Total*D60</f>
        <v>10800000</v>
      </c>
    </row>
    <row r="62" customFormat="false" ht="15" hidden="false" customHeight="false" outlineLevel="1" collapsed="false">
      <c r="B62" s="4" t="s">
        <v>272</v>
      </c>
      <c r="C62" s="24" t="s">
        <v>120</v>
      </c>
      <c r="D62" s="32" t="n">
        <f aca="false">D61*Gearing</f>
        <v>7020000</v>
      </c>
    </row>
    <row r="63" customFormat="false" ht="15" hidden="false" customHeight="false" outlineLevel="1" collapsed="false">
      <c r="B63" s="4" t="s">
        <v>273</v>
      </c>
      <c r="C63" s="24" t="s">
        <v>120</v>
      </c>
      <c r="D63" s="32" t="n">
        <f aca="false">-PMT(Interest_Rate,Debt_Tenor,D62)</f>
        <v>1217108.01569761</v>
      </c>
    </row>
    <row r="64" customFormat="false" ht="15" hidden="false" customHeight="false" outlineLevel="1" collapsed="false">
      <c r="B64" s="4" t="s">
        <v>144</v>
      </c>
      <c r="C64" s="24"/>
      <c r="E64" s="75" t="n">
        <f aca="false">Calculations!E$5</f>
        <v>0</v>
      </c>
      <c r="F64" s="75" t="n">
        <f aca="false">Calculations!F$5</f>
        <v>1</v>
      </c>
      <c r="G64" s="75" t="n">
        <f aca="false">Calculations!G$5</f>
        <v>2</v>
      </c>
      <c r="H64" s="75" t="n">
        <f aca="false">Calculations!H$5</f>
        <v>3</v>
      </c>
      <c r="I64" s="75" t="n">
        <f aca="false">Calculations!I$5</f>
        <v>4</v>
      </c>
      <c r="J64" s="75" t="n">
        <f aca="false">Calculations!J$5</f>
        <v>5</v>
      </c>
      <c r="K64" s="75" t="n">
        <f aca="false">Calculations!K$5</f>
        <v>6</v>
      </c>
      <c r="L64" s="75" t="n">
        <f aca="false">Calculations!L$5</f>
        <v>7</v>
      </c>
      <c r="M64" s="75" t="n">
        <f aca="false">Calculations!M$5</f>
        <v>8</v>
      </c>
      <c r="N64" s="75" t="n">
        <f aca="false">Calculations!N$5</f>
        <v>9</v>
      </c>
      <c r="O64" s="75" t="n">
        <f aca="false">Calculations!O$5</f>
        <v>10</v>
      </c>
      <c r="P64" s="75" t="n">
        <f aca="false">Calculations!P$5</f>
        <v>11</v>
      </c>
      <c r="Q64" s="75" t="n">
        <f aca="false">Calculations!Q$5</f>
        <v>12</v>
      </c>
      <c r="R64" s="75" t="n">
        <f aca="false">Calculations!R$5</f>
        <v>13</v>
      </c>
      <c r="S64" s="75" t="n">
        <f aca="false">Calculations!S$5</f>
        <v>14</v>
      </c>
      <c r="T64" s="75" t="n">
        <f aca="false">Calculations!T$5</f>
        <v>15</v>
      </c>
      <c r="U64" s="75" t="n">
        <f aca="false">Calculations!U$5</f>
        <v>16</v>
      </c>
      <c r="V64" s="75" t="n">
        <f aca="false">Calculations!V$5</f>
        <v>17</v>
      </c>
      <c r="W64" s="75" t="n">
        <f aca="false">Calculations!W$5</f>
        <v>18</v>
      </c>
      <c r="X64" s="75" t="n">
        <f aca="false">Calculations!X$5</f>
        <v>19</v>
      </c>
      <c r="Y64" s="75" t="n">
        <f aca="false">Calculations!Y$5</f>
        <v>20</v>
      </c>
      <c r="Z64" s="75" t="n">
        <f aca="false">Calculations!Z$5</f>
        <v>21</v>
      </c>
      <c r="AA64" s="75" t="n">
        <f aca="false">Calculations!AA$5</f>
        <v>22</v>
      </c>
      <c r="AB64" s="75" t="n">
        <f aca="false">Calculations!AB$5</f>
        <v>23</v>
      </c>
      <c r="AC64" s="75" t="n">
        <f aca="false">Calculations!AC$5</f>
        <v>24</v>
      </c>
      <c r="AD64" s="75" t="n">
        <f aca="false">Calculations!AD$5</f>
        <v>25</v>
      </c>
    </row>
    <row r="65" customFormat="false" ht="15" hidden="false" customHeight="false" outlineLevel="1" collapsed="false">
      <c r="B65" s="4" t="s">
        <v>152</v>
      </c>
      <c r="C65" s="24" t="s">
        <v>120</v>
      </c>
      <c r="F65" s="32" t="n">
        <f aca="false">Calculations!F$12*$D$59</f>
        <v>1897500</v>
      </c>
      <c r="G65" s="32" t="n">
        <f aca="false">Calculations!G$12*$D$59</f>
        <v>1991853.1875</v>
      </c>
      <c r="H65" s="32" t="n">
        <f aca="false">Calculations!H$12*$D$59</f>
        <v>2090898.08724844</v>
      </c>
      <c r="I65" s="32" t="n">
        <f aca="false">Calculations!I$12*$D$59</f>
        <v>2194867.99463687</v>
      </c>
      <c r="J65" s="32" t="n">
        <f aca="false">Calculations!J$12*$D$59</f>
        <v>2304007.80567018</v>
      </c>
      <c r="K65" s="32" t="n">
        <f aca="false">Calculations!K$12*$D$59</f>
        <v>2418574.59380713</v>
      </c>
      <c r="L65" s="32" t="n">
        <f aca="false">Calculations!L$12*$D$59</f>
        <v>2538838.21548419</v>
      </c>
      <c r="M65" s="32" t="n">
        <f aca="false">Calculations!M$12*$D$59</f>
        <v>2665081.94574914</v>
      </c>
      <c r="N65" s="32" t="n">
        <f aca="false">Calculations!N$12*$D$59</f>
        <v>2797603.14550152</v>
      </c>
      <c r="O65" s="32" t="n">
        <f aca="false">Calculations!O$12*$D$59</f>
        <v>2936713.96191158</v>
      </c>
      <c r="P65" s="32" t="n">
        <f aca="false">Calculations!P$12*$D$59</f>
        <v>3082742.06366764</v>
      </c>
      <c r="Q65" s="32" t="n">
        <f aca="false">Calculations!Q$12*$D$59</f>
        <v>3236031.41278351</v>
      </c>
      <c r="R65" s="32" t="n">
        <f aca="false">Calculations!R$12*$D$59</f>
        <v>3396943.07478417</v>
      </c>
      <c r="S65" s="32" t="n">
        <f aca="false">Calculations!S$12*$D$59</f>
        <v>3565856.06917781</v>
      </c>
      <c r="T65" s="32" t="n">
        <f aca="false">Calculations!T$12*$D$59</f>
        <v>3743168.26221768</v>
      </c>
      <c r="U65" s="32" t="n">
        <f aca="false">Calculations!U$12*$D$59</f>
        <v>3929297.30405645</v>
      </c>
      <c r="V65" s="32" t="n">
        <f aca="false">Calculations!V$12*$D$59</f>
        <v>4124681.61250066</v>
      </c>
      <c r="W65" s="32" t="n">
        <f aca="false">Calculations!W$12*$D$59</f>
        <v>4329781.40568225</v>
      </c>
      <c r="X65" s="32" t="n">
        <f aca="false">Calculations!X$12*$D$59</f>
        <v>4545079.7860798</v>
      </c>
      <c r="Y65" s="32" t="n">
        <f aca="false">Calculations!Y$12*$D$59</f>
        <v>4771083.87844262</v>
      </c>
      <c r="Z65" s="32" t="n">
        <f aca="false">Calculations!Z$12*$D$59</f>
        <v>0</v>
      </c>
      <c r="AA65" s="32" t="n">
        <f aca="false">Calculations!AA$12*$D$59</f>
        <v>0</v>
      </c>
      <c r="AB65" s="32" t="n">
        <f aca="false">Calculations!AB$12*$D$59</f>
        <v>0</v>
      </c>
      <c r="AC65" s="32" t="n">
        <f aca="false">Calculations!AC$12*$D$59</f>
        <v>0</v>
      </c>
      <c r="AD65" s="32" t="n">
        <f aca="false">Calculations!AD$12*$D$59</f>
        <v>0</v>
      </c>
    </row>
    <row r="66" customFormat="false" ht="15" hidden="false" customHeight="false" outlineLevel="1" collapsed="false">
      <c r="B66" s="4" t="s">
        <v>155</v>
      </c>
      <c r="C66" s="24" t="s">
        <v>120</v>
      </c>
      <c r="F66" s="32" t="n">
        <f aca="false">F65-Calculations!F$15</f>
        <v>1717500</v>
      </c>
      <c r="G66" s="32" t="n">
        <f aca="false">G65-Calculations!G$15</f>
        <v>1802853.1875</v>
      </c>
      <c r="H66" s="32" t="n">
        <f aca="false">H65-Calculations!H$15</f>
        <v>1892448.08724844</v>
      </c>
      <c r="I66" s="32" t="n">
        <f aca="false">I65-Calculations!I$15</f>
        <v>1986495.49463687</v>
      </c>
      <c r="J66" s="32" t="n">
        <f aca="false">J65-Calculations!J$15</f>
        <v>2085216.68067018</v>
      </c>
      <c r="K66" s="32" t="n">
        <f aca="false">K65-Calculations!K$15</f>
        <v>2188843.91255713</v>
      </c>
      <c r="L66" s="32" t="n">
        <f aca="false">L65-Calculations!L$15</f>
        <v>2297621.00017169</v>
      </c>
      <c r="M66" s="32" t="n">
        <f aca="false">M65-Calculations!M$15</f>
        <v>2411803.86967102</v>
      </c>
      <c r="N66" s="32" t="n">
        <f aca="false">N65-Calculations!N$15</f>
        <v>2531661.16561949</v>
      </c>
      <c r="O66" s="32" t="n">
        <f aca="false">O65-Calculations!O$15</f>
        <v>2657474.88303545</v>
      </c>
      <c r="P66" s="32" t="n">
        <f aca="false">P65-Calculations!P$15</f>
        <v>2789541.0308477</v>
      </c>
      <c r="Q66" s="32" t="n">
        <f aca="false">Q65-Calculations!Q$15</f>
        <v>2928170.32832257</v>
      </c>
      <c r="R66" s="32" t="n">
        <f aca="false">R65-Calculations!R$15</f>
        <v>3073688.93610019</v>
      </c>
      <c r="S66" s="32" t="n">
        <f aca="false">S65-Calculations!S$15</f>
        <v>3226439.22355963</v>
      </c>
      <c r="T66" s="32" t="n">
        <f aca="false">T65-Calculations!T$15</f>
        <v>3386780.57431859</v>
      </c>
      <c r="U66" s="32" t="n">
        <f aca="false">U65-Calculations!U$15</f>
        <v>3555090.23176241</v>
      </c>
      <c r="V66" s="32" t="n">
        <f aca="false">V65-Calculations!V$15</f>
        <v>3731764.18659191</v>
      </c>
      <c r="W66" s="32" t="n">
        <f aca="false">W65-Calculations!W$15</f>
        <v>3917218.10847807</v>
      </c>
      <c r="X66" s="32" t="n">
        <f aca="false">X65-Calculations!X$15</f>
        <v>4111888.32401541</v>
      </c>
      <c r="Y66" s="32" t="n">
        <f aca="false">Y65-Calculations!Y$15</f>
        <v>4316232.84327501</v>
      </c>
      <c r="Z66" s="32" t="n">
        <f aca="false">Z65-Calculations!Z$15</f>
        <v>0</v>
      </c>
      <c r="AA66" s="32" t="n">
        <f aca="false">AA65-Calculations!AA$15</f>
        <v>0</v>
      </c>
      <c r="AB66" s="32" t="n">
        <f aca="false">AB65-Calculations!AB$15</f>
        <v>0</v>
      </c>
      <c r="AC66" s="32" t="n">
        <f aca="false">AC65-Calculations!AC$15</f>
        <v>0</v>
      </c>
      <c r="AD66" s="32" t="n">
        <f aca="false">AD65-Calculations!AD$15</f>
        <v>0</v>
      </c>
    </row>
    <row r="67" customFormat="false" ht="15" hidden="false" customHeight="false" outlineLevel="1" collapsed="false">
      <c r="B67" s="4" t="s">
        <v>274</v>
      </c>
      <c r="C67" s="24" t="s">
        <v>120</v>
      </c>
      <c r="F67" s="32" t="n">
        <f aca="false">E70*Interest_Rate*Calculations!F$7</f>
        <v>807300</v>
      </c>
      <c r="G67" s="32" t="n">
        <f aca="false">F70*Interest_Rate*Calculations!G$7</f>
        <v>760172.078194775</v>
      </c>
      <c r="H67" s="32" t="n">
        <f aca="false">G70*Interest_Rate*Calculations!H$7</f>
        <v>707624.445381949</v>
      </c>
      <c r="I67" s="32" t="n">
        <f aca="false">H70*Interest_Rate*Calculations!I$7</f>
        <v>649033.834795649</v>
      </c>
      <c r="J67" s="32" t="n">
        <f aca="false">I70*Interest_Rate*Calculations!J$7</f>
        <v>583705.303991924</v>
      </c>
      <c r="K67" s="32" t="n">
        <f aca="false">J70*Interest_Rate*Calculations!K$7</f>
        <v>510863.99214577</v>
      </c>
      <c r="L67" s="32" t="n">
        <f aca="false">K70*Interest_Rate*Calculations!L$7</f>
        <v>429645.929437308</v>
      </c>
      <c r="M67" s="32" t="n">
        <f aca="false">L70*Interest_Rate*Calculations!M$7</f>
        <v>339087.789517374</v>
      </c>
      <c r="N67" s="32" t="n">
        <f aca="false">M70*Interest_Rate*Calculations!N$7</f>
        <v>238115.463506647</v>
      </c>
      <c r="O67" s="32" t="n">
        <f aca="false">N70*Interest_Rate*Calculations!O$7</f>
        <v>125531.320004686</v>
      </c>
      <c r="P67" s="32" t="n">
        <f aca="false">O70*Interest_Rate*Calculations!P$7</f>
        <v>0</v>
      </c>
      <c r="Q67" s="32" t="n">
        <f aca="false">P70*Interest_Rate*Calculations!Q$7</f>
        <v>0</v>
      </c>
      <c r="R67" s="32" t="n">
        <f aca="false">Q70*Interest_Rate*Calculations!R$7</f>
        <v>0</v>
      </c>
      <c r="S67" s="32" t="n">
        <f aca="false">R70*Interest_Rate*Calculations!S$7</f>
        <v>0</v>
      </c>
      <c r="T67" s="32" t="n">
        <f aca="false">S70*Interest_Rate*Calculations!T$7</f>
        <v>0</v>
      </c>
      <c r="U67" s="32" t="n">
        <f aca="false">T70*Interest_Rate*Calculations!U$7</f>
        <v>0</v>
      </c>
      <c r="V67" s="32" t="n">
        <f aca="false">U70*Interest_Rate*Calculations!V$7</f>
        <v>0</v>
      </c>
      <c r="W67" s="32" t="n">
        <f aca="false">V70*Interest_Rate*Calculations!W$7</f>
        <v>0</v>
      </c>
      <c r="X67" s="32" t="n">
        <f aca="false">W70*Interest_Rate*Calculations!X$7</f>
        <v>0</v>
      </c>
      <c r="Y67" s="32" t="n">
        <f aca="false">X70*Interest_Rate*Calculations!Y$7</f>
        <v>0</v>
      </c>
      <c r="Z67" s="32" t="n">
        <f aca="false">Y70*Interest_Rate*Calculations!Z$7</f>
        <v>0</v>
      </c>
      <c r="AA67" s="32" t="n">
        <f aca="false">Z70*Interest_Rate*Calculations!AA$7</f>
        <v>0</v>
      </c>
      <c r="AB67" s="32" t="n">
        <f aca="false">AA70*Interest_Rate*Calculations!AB$7</f>
        <v>0</v>
      </c>
      <c r="AC67" s="32" t="n">
        <f aca="false">AB70*Interest_Rate*Calculations!AC$7</f>
        <v>0</v>
      </c>
      <c r="AD67" s="32" t="n">
        <f aca="false">AC70*Interest_Rate*Calculations!AD$7</f>
        <v>0</v>
      </c>
    </row>
    <row r="68" customFormat="false" ht="15" hidden="false" customHeight="false" outlineLevel="1" collapsed="false">
      <c r="B68" s="4" t="s">
        <v>177</v>
      </c>
      <c r="C68" s="24" t="s">
        <v>120</v>
      </c>
      <c r="F68" s="32" t="n">
        <f aca="false">$D$63*Calculations!F$7</f>
        <v>1217108.01569761</v>
      </c>
      <c r="G68" s="32" t="n">
        <f aca="false">$D$63*Calculations!G$7</f>
        <v>1217108.01569761</v>
      </c>
      <c r="H68" s="32" t="n">
        <f aca="false">$D$63*Calculations!H$7</f>
        <v>1217108.01569761</v>
      </c>
      <c r="I68" s="32" t="n">
        <f aca="false">$D$63*Calculations!I$7</f>
        <v>1217108.01569761</v>
      </c>
      <c r="J68" s="32" t="n">
        <f aca="false">$D$63*Calculations!J$7</f>
        <v>1217108.01569761</v>
      </c>
      <c r="K68" s="32" t="n">
        <f aca="false">$D$63*Calculations!K$7</f>
        <v>1217108.01569761</v>
      </c>
      <c r="L68" s="32" t="n">
        <f aca="false">$D$63*Calculations!L$7</f>
        <v>1217108.01569761</v>
      </c>
      <c r="M68" s="32" t="n">
        <f aca="false">$D$63*Calculations!M$7</f>
        <v>1217108.01569761</v>
      </c>
      <c r="N68" s="32" t="n">
        <f aca="false">$D$63*Calculations!N$7</f>
        <v>1217108.01569761</v>
      </c>
      <c r="O68" s="32" t="n">
        <f aca="false">$D$63*Calculations!O$7</f>
        <v>1217108.01569761</v>
      </c>
      <c r="P68" s="32" t="n">
        <f aca="false">$D$63*Calculations!P$7</f>
        <v>0</v>
      </c>
      <c r="Q68" s="32" t="n">
        <f aca="false">$D$63*Calculations!Q$7</f>
        <v>0</v>
      </c>
      <c r="R68" s="32" t="n">
        <f aca="false">$D$63*Calculations!R$7</f>
        <v>0</v>
      </c>
      <c r="S68" s="32" t="n">
        <f aca="false">$D$63*Calculations!S$7</f>
        <v>0</v>
      </c>
      <c r="T68" s="32" t="n">
        <f aca="false">$D$63*Calculations!T$7</f>
        <v>0</v>
      </c>
      <c r="U68" s="32" t="n">
        <f aca="false">$D$63*Calculations!U$7</f>
        <v>0</v>
      </c>
      <c r="V68" s="32" t="n">
        <f aca="false">$D$63*Calculations!V$7</f>
        <v>0</v>
      </c>
      <c r="W68" s="32" t="n">
        <f aca="false">$D$63*Calculations!W$7</f>
        <v>0</v>
      </c>
      <c r="X68" s="32" t="n">
        <f aca="false">$D$63*Calculations!X$7</f>
        <v>0</v>
      </c>
      <c r="Y68" s="32" t="n">
        <f aca="false">$D$63*Calculations!Y$7</f>
        <v>0</v>
      </c>
      <c r="Z68" s="32" t="n">
        <f aca="false">$D$63*Calculations!Z$7</f>
        <v>0</v>
      </c>
      <c r="AA68" s="32" t="n">
        <f aca="false">$D$63*Calculations!AA$7</f>
        <v>0</v>
      </c>
      <c r="AB68" s="32" t="n">
        <f aca="false">$D$63*Calculations!AB$7</f>
        <v>0</v>
      </c>
      <c r="AC68" s="32" t="n">
        <f aca="false">$D$63*Calculations!AC$7</f>
        <v>0</v>
      </c>
      <c r="AD68" s="32" t="n">
        <f aca="false">$D$63*Calculations!AD$7</f>
        <v>0</v>
      </c>
    </row>
    <row r="69" customFormat="false" ht="15" hidden="false" customHeight="false" outlineLevel="1" collapsed="false">
      <c r="B69" s="4" t="s">
        <v>275</v>
      </c>
      <c r="C69" s="24" t="s">
        <v>120</v>
      </c>
      <c r="F69" s="32" t="n">
        <f aca="false">F68-F67</f>
        <v>409808.015697608</v>
      </c>
      <c r="G69" s="32" t="n">
        <f aca="false">G68-G67</f>
        <v>456935.937502833</v>
      </c>
      <c r="H69" s="32" t="n">
        <f aca="false">H68-H67</f>
        <v>509483.570315658</v>
      </c>
      <c r="I69" s="32" t="n">
        <f aca="false">I68-I67</f>
        <v>568074.180901959</v>
      </c>
      <c r="J69" s="32" t="n">
        <f aca="false">J68-J67</f>
        <v>633402.711705684</v>
      </c>
      <c r="K69" s="32" t="n">
        <f aca="false">K68-K67</f>
        <v>706244.023551838</v>
      </c>
      <c r="L69" s="32" t="n">
        <f aca="false">L68-L67</f>
        <v>787462.086260299</v>
      </c>
      <c r="M69" s="32" t="n">
        <f aca="false">M68-M67</f>
        <v>878020.226180234</v>
      </c>
      <c r="N69" s="32" t="n">
        <f aca="false">N68-N67</f>
        <v>978992.552190961</v>
      </c>
      <c r="O69" s="32" t="n">
        <f aca="false">O68-O67</f>
        <v>1091576.69569292</v>
      </c>
      <c r="P69" s="32" t="n">
        <f aca="false">P68-P67</f>
        <v>0</v>
      </c>
      <c r="Q69" s="32" t="n">
        <f aca="false">Q68-Q67</f>
        <v>0</v>
      </c>
      <c r="R69" s="32" t="n">
        <f aca="false">R68-R67</f>
        <v>0</v>
      </c>
      <c r="S69" s="32" t="n">
        <f aca="false">S68-S67</f>
        <v>0</v>
      </c>
      <c r="T69" s="32" t="n">
        <f aca="false">T68-T67</f>
        <v>0</v>
      </c>
      <c r="U69" s="32" t="n">
        <f aca="false">U68-U67</f>
        <v>0</v>
      </c>
      <c r="V69" s="32" t="n">
        <f aca="false">V68-V67</f>
        <v>0</v>
      </c>
      <c r="W69" s="32" t="n">
        <f aca="false">W68-W67</f>
        <v>0</v>
      </c>
      <c r="X69" s="32" t="n">
        <f aca="false">X68-X67</f>
        <v>0</v>
      </c>
      <c r="Y69" s="32" t="n">
        <f aca="false">Y68-Y67</f>
        <v>0</v>
      </c>
      <c r="Z69" s="32" t="n">
        <f aca="false">Z68-Z67</f>
        <v>0</v>
      </c>
      <c r="AA69" s="32" t="n">
        <f aca="false">AA68-AA67</f>
        <v>0</v>
      </c>
      <c r="AB69" s="32" t="n">
        <f aca="false">AB68-AB67</f>
        <v>0</v>
      </c>
      <c r="AC69" s="32" t="n">
        <f aca="false">AC68-AC67</f>
        <v>0</v>
      </c>
      <c r="AD69" s="32" t="n">
        <f aca="false">AD68-AD67</f>
        <v>0</v>
      </c>
    </row>
    <row r="70" customFormat="false" ht="15" hidden="false" customHeight="false" outlineLevel="1" collapsed="false">
      <c r="B70" s="4" t="s">
        <v>276</v>
      </c>
      <c r="C70" s="24" t="s">
        <v>120</v>
      </c>
      <c r="E70" s="32" t="n">
        <f aca="false">$D$62</f>
        <v>7020000</v>
      </c>
      <c r="F70" s="32" t="n">
        <f aca="false">E70-F69</f>
        <v>6610191.98430239</v>
      </c>
      <c r="G70" s="32" t="n">
        <f aca="false">F70-G69</f>
        <v>6153256.04679956</v>
      </c>
      <c r="H70" s="32" t="n">
        <f aca="false">G70-H69</f>
        <v>5643772.4764839</v>
      </c>
      <c r="I70" s="32" t="n">
        <f aca="false">H70-I69</f>
        <v>5075698.29558194</v>
      </c>
      <c r="J70" s="32" t="n">
        <f aca="false">I70-J69</f>
        <v>4442295.58387626</v>
      </c>
      <c r="K70" s="32" t="n">
        <f aca="false">J70-K69</f>
        <v>3736051.56032442</v>
      </c>
      <c r="L70" s="32" t="n">
        <f aca="false">K70-L69</f>
        <v>2948589.47406412</v>
      </c>
      <c r="M70" s="32" t="n">
        <f aca="false">L70-M69</f>
        <v>2070569.24788389</v>
      </c>
      <c r="N70" s="32" t="n">
        <f aca="false">M70-N69</f>
        <v>1091576.69569293</v>
      </c>
      <c r="O70" s="32" t="n">
        <f aca="false">N70-O69</f>
        <v>3.95812094211578E-009</v>
      </c>
      <c r="P70" s="32" t="n">
        <f aca="false">O70-P69</f>
        <v>3.95812094211578E-009</v>
      </c>
      <c r="Q70" s="32" t="n">
        <f aca="false">P70-Q69</f>
        <v>3.95812094211578E-009</v>
      </c>
      <c r="R70" s="32" t="n">
        <f aca="false">Q70-R69</f>
        <v>3.95812094211578E-009</v>
      </c>
      <c r="S70" s="32" t="n">
        <f aca="false">R70-S69</f>
        <v>3.95812094211578E-009</v>
      </c>
      <c r="T70" s="32" t="n">
        <f aca="false">S70-T69</f>
        <v>3.95812094211578E-009</v>
      </c>
      <c r="U70" s="32" t="n">
        <f aca="false">T70-U69</f>
        <v>3.95812094211578E-009</v>
      </c>
      <c r="V70" s="32" t="n">
        <f aca="false">U70-V69</f>
        <v>3.95812094211578E-009</v>
      </c>
      <c r="W70" s="32" t="n">
        <f aca="false">V70-W69</f>
        <v>3.95812094211578E-009</v>
      </c>
      <c r="X70" s="32" t="n">
        <f aca="false">W70-X69</f>
        <v>3.95812094211578E-009</v>
      </c>
      <c r="Y70" s="32" t="n">
        <f aca="false">X70-Y69</f>
        <v>3.95812094211578E-009</v>
      </c>
      <c r="Z70" s="32" t="n">
        <f aca="false">Y70-Z69</f>
        <v>3.95812094211578E-009</v>
      </c>
      <c r="AA70" s="32" t="n">
        <f aca="false">Z70-AA69</f>
        <v>3.95812094211578E-009</v>
      </c>
      <c r="AB70" s="32" t="n">
        <f aca="false">AA70-AB69</f>
        <v>3.95812094211578E-009</v>
      </c>
      <c r="AC70" s="32" t="n">
        <f aca="false">AB70-AC69</f>
        <v>3.95812094211578E-009</v>
      </c>
      <c r="AD70" s="32" t="n">
        <f aca="false">AC70-AD69</f>
        <v>3.95812094211578E-009</v>
      </c>
    </row>
    <row r="71" customFormat="false" ht="15" hidden="false" customHeight="false" outlineLevel="1" collapsed="false">
      <c r="B71" s="4" t="s">
        <v>277</v>
      </c>
      <c r="C71" s="24" t="s">
        <v>120</v>
      </c>
      <c r="F71" s="32" t="n">
        <f aca="false">Calculations!F$20*$D$60</f>
        <v>10800000</v>
      </c>
      <c r="G71" s="32" t="n">
        <f aca="false">Calculations!G$20*$D$60</f>
        <v>0</v>
      </c>
      <c r="H71" s="32" t="n">
        <f aca="false">Calculations!H$20*$D$60</f>
        <v>0</v>
      </c>
      <c r="I71" s="32" t="n">
        <f aca="false">Calculations!I$20*$D$60</f>
        <v>0</v>
      </c>
      <c r="J71" s="32" t="n">
        <f aca="false">Calculations!J$20*$D$60</f>
        <v>0</v>
      </c>
      <c r="K71" s="32" t="n">
        <f aca="false">Calculations!K$20*$D$60</f>
        <v>0</v>
      </c>
      <c r="L71" s="32" t="n">
        <f aca="false">Calculations!L$20*$D$60</f>
        <v>0</v>
      </c>
      <c r="M71" s="32" t="n">
        <f aca="false">Calculations!M$20*$D$60</f>
        <v>0</v>
      </c>
      <c r="N71" s="32" t="n">
        <f aca="false">Calculations!N$20*$D$60</f>
        <v>0</v>
      </c>
      <c r="O71" s="32" t="n">
        <f aca="false">Calculations!O$20*$D$60</f>
        <v>0</v>
      </c>
      <c r="P71" s="32" t="n">
        <f aca="false">Calculations!P$20*$D$60</f>
        <v>0</v>
      </c>
      <c r="Q71" s="32" t="n">
        <f aca="false">Calculations!Q$20*$D$60</f>
        <v>0</v>
      </c>
      <c r="R71" s="32" t="n">
        <f aca="false">Calculations!R$20*$D$60</f>
        <v>0</v>
      </c>
      <c r="S71" s="32" t="n">
        <f aca="false">Calculations!S$20*$D$60</f>
        <v>0</v>
      </c>
      <c r="T71" s="32" t="n">
        <f aca="false">Calculations!T$20*$D$60</f>
        <v>0</v>
      </c>
      <c r="U71" s="32" t="n">
        <f aca="false">Calculations!U$20*$D$60</f>
        <v>0</v>
      </c>
      <c r="V71" s="32" t="n">
        <f aca="false">Calculations!V$20*$D$60</f>
        <v>0</v>
      </c>
      <c r="W71" s="32" t="n">
        <f aca="false">Calculations!W$20*$D$60</f>
        <v>0</v>
      </c>
      <c r="X71" s="32" t="n">
        <f aca="false">Calculations!X$20*$D$60</f>
        <v>0</v>
      </c>
      <c r="Y71" s="32" t="n">
        <f aca="false">Calculations!Y$20*$D$60</f>
        <v>0</v>
      </c>
      <c r="Z71" s="32" t="n">
        <f aca="false">Calculations!Z$20*$D$60</f>
        <v>0</v>
      </c>
      <c r="AA71" s="32" t="n">
        <f aca="false">Calculations!AA$20*$D$60</f>
        <v>0</v>
      </c>
      <c r="AB71" s="32" t="n">
        <f aca="false">Calculations!AB$20*$D$60</f>
        <v>0</v>
      </c>
      <c r="AC71" s="32" t="n">
        <f aca="false">Calculations!AC$20*$D$60</f>
        <v>0</v>
      </c>
      <c r="AD71" s="32" t="n">
        <f aca="false">Calculations!AD$20*$D$60</f>
        <v>0</v>
      </c>
    </row>
    <row r="72" customFormat="false" ht="15" hidden="false" customHeight="false" outlineLevel="1" collapsed="false">
      <c r="B72" s="4" t="s">
        <v>169</v>
      </c>
      <c r="C72" s="24" t="s">
        <v>120</v>
      </c>
      <c r="F72" s="32" t="n">
        <f aca="false">F66-F67-F71</f>
        <v>-9889800</v>
      </c>
      <c r="G72" s="32" t="n">
        <f aca="false">G66-G67-G71</f>
        <v>1042681.10930522</v>
      </c>
      <c r="H72" s="32" t="n">
        <f aca="false">H66-H67-H71</f>
        <v>1184823.64186649</v>
      </c>
      <c r="I72" s="32" t="n">
        <f aca="false">I66-I67-I71</f>
        <v>1337461.65984122</v>
      </c>
      <c r="J72" s="32" t="n">
        <f aca="false">J66-J67-J71</f>
        <v>1501511.37667826</v>
      </c>
      <c r="K72" s="32" t="n">
        <f aca="false">K66-K67-K71</f>
        <v>1677979.92041136</v>
      </c>
      <c r="L72" s="32" t="n">
        <f aca="false">L66-L67-L71</f>
        <v>1867975.07073438</v>
      </c>
      <c r="M72" s="32" t="n">
        <f aca="false">M66-M67-M71</f>
        <v>2072716.08015364</v>
      </c>
      <c r="N72" s="32" t="n">
        <f aca="false">N66-N67-N71</f>
        <v>2293545.70211284</v>
      </c>
      <c r="O72" s="32" t="n">
        <f aca="false">O66-O67-O71</f>
        <v>2531943.56303076</v>
      </c>
      <c r="P72" s="32" t="n">
        <f aca="false">P66-P67-P71</f>
        <v>2789541.0308477</v>
      </c>
      <c r="Q72" s="32" t="n">
        <f aca="false">Q66-Q67-Q71</f>
        <v>2928170.32832257</v>
      </c>
      <c r="R72" s="32" t="n">
        <f aca="false">R66-R67-R71</f>
        <v>3073688.93610019</v>
      </c>
      <c r="S72" s="32" t="n">
        <f aca="false">S66-S67-S71</f>
        <v>3226439.22355963</v>
      </c>
      <c r="T72" s="32" t="n">
        <f aca="false">T66-T67-T71</f>
        <v>3386780.57431859</v>
      </c>
      <c r="U72" s="32" t="n">
        <f aca="false">U66-U67-U71</f>
        <v>3555090.23176241</v>
      </c>
      <c r="V72" s="32" t="n">
        <f aca="false">V66-V67-V71</f>
        <v>3731764.18659191</v>
      </c>
      <c r="W72" s="32" t="n">
        <f aca="false">W66-W67-W71</f>
        <v>3917218.10847807</v>
      </c>
      <c r="X72" s="32" t="n">
        <f aca="false">X66-X67-X71</f>
        <v>4111888.32401541</v>
      </c>
      <c r="Y72" s="32" t="n">
        <f aca="false">Y66-Y67-Y71</f>
        <v>4316232.84327501</v>
      </c>
      <c r="Z72" s="32" t="n">
        <f aca="false">Z66-Z67-Z71</f>
        <v>0</v>
      </c>
      <c r="AA72" s="32" t="n">
        <f aca="false">AA66-AA67-AA71</f>
        <v>0</v>
      </c>
      <c r="AB72" s="32" t="n">
        <f aca="false">AB66-AB67-AB71</f>
        <v>0</v>
      </c>
      <c r="AC72" s="32" t="n">
        <f aca="false">AC66-AC67-AC71</f>
        <v>0</v>
      </c>
      <c r="AD72" s="32" t="n">
        <f aca="false">AD66-AD67-AD71</f>
        <v>0</v>
      </c>
    </row>
    <row r="73" customFormat="false" ht="15" hidden="false" customHeight="false" outlineLevel="1" collapsed="false">
      <c r="B73" s="4" t="s">
        <v>172</v>
      </c>
      <c r="C73" s="24" t="s">
        <v>120</v>
      </c>
      <c r="F73" s="32" t="n">
        <f aca="false">MAX(0,E73-F72)</f>
        <v>9889800</v>
      </c>
      <c r="G73" s="32" t="n">
        <f aca="false">MAX(0,F73-G72)</f>
        <v>8847118.89069478</v>
      </c>
      <c r="H73" s="32" t="n">
        <f aca="false">MAX(0,G73-H72)</f>
        <v>7662295.24882829</v>
      </c>
      <c r="I73" s="32" t="n">
        <f aca="false">MAX(0,H73-I72)</f>
        <v>6324833.58898707</v>
      </c>
      <c r="J73" s="32" t="n">
        <f aca="false">MAX(0,I73-J72)</f>
        <v>4823322.21230881</v>
      </c>
      <c r="K73" s="32" t="n">
        <f aca="false">MAX(0,J73-K72)</f>
        <v>3145342.29189745</v>
      </c>
      <c r="L73" s="32" t="n">
        <f aca="false">MAX(0,K73-L72)</f>
        <v>1277367.22116306</v>
      </c>
      <c r="M73" s="32" t="n">
        <f aca="false">MAX(0,L73-M72)</f>
        <v>0</v>
      </c>
      <c r="N73" s="32" t="n">
        <f aca="false">MAX(0,M73-N72)</f>
        <v>0</v>
      </c>
      <c r="O73" s="32" t="n">
        <f aca="false">MAX(0,N73-O72)</f>
        <v>0</v>
      </c>
      <c r="P73" s="32" t="n">
        <f aca="false">MAX(0,O73-P72)</f>
        <v>0</v>
      </c>
      <c r="Q73" s="32" t="n">
        <f aca="false">MAX(0,P73-Q72)</f>
        <v>0</v>
      </c>
      <c r="R73" s="32" t="n">
        <f aca="false">MAX(0,Q73-R72)</f>
        <v>0</v>
      </c>
      <c r="S73" s="32" t="n">
        <f aca="false">MAX(0,R73-S72)</f>
        <v>0</v>
      </c>
      <c r="T73" s="32" t="n">
        <f aca="false">MAX(0,S73-T72)</f>
        <v>0</v>
      </c>
      <c r="U73" s="32" t="n">
        <f aca="false">MAX(0,T73-U72)</f>
        <v>0</v>
      </c>
      <c r="V73" s="32" t="n">
        <f aca="false">MAX(0,U73-V72)</f>
        <v>0</v>
      </c>
      <c r="W73" s="32" t="n">
        <f aca="false">MAX(0,V73-W72)</f>
        <v>0</v>
      </c>
      <c r="X73" s="32" t="n">
        <f aca="false">MAX(0,W73-X72)</f>
        <v>0</v>
      </c>
      <c r="Y73" s="32" t="n">
        <f aca="false">MAX(0,X73-Y72)</f>
        <v>0</v>
      </c>
      <c r="Z73" s="32" t="n">
        <f aca="false">MAX(0,Y73-Z72)</f>
        <v>0</v>
      </c>
      <c r="AA73" s="32" t="n">
        <f aca="false">MAX(0,Z73-AA72)</f>
        <v>0</v>
      </c>
      <c r="AB73" s="32" t="n">
        <f aca="false">MAX(0,AA73-AB72)</f>
        <v>0</v>
      </c>
      <c r="AC73" s="32" t="n">
        <f aca="false">MAX(0,AB73-AC72)</f>
        <v>0</v>
      </c>
      <c r="AD73" s="32" t="n">
        <f aca="false">MAX(0,AC73-AD72)</f>
        <v>0</v>
      </c>
    </row>
    <row r="74" customFormat="false" ht="15" hidden="false" customHeight="false" outlineLevel="1" collapsed="false">
      <c r="B74" s="4" t="s">
        <v>173</v>
      </c>
      <c r="C74" s="24" t="s">
        <v>120</v>
      </c>
      <c r="F74" s="32" t="n">
        <f aca="false">Tax_Rate*MAX(0,F72-E73)</f>
        <v>0</v>
      </c>
      <c r="G74" s="32" t="n">
        <f aca="false">Tax_Rate*MAX(0,G72-F73)</f>
        <v>0</v>
      </c>
      <c r="H74" s="32" t="n">
        <f aca="false">Tax_Rate*MAX(0,H72-G73)</f>
        <v>0</v>
      </c>
      <c r="I74" s="32" t="n">
        <f aca="false">Tax_Rate*MAX(0,I72-H73)</f>
        <v>0</v>
      </c>
      <c r="J74" s="32" t="n">
        <f aca="false">Tax_Rate*MAX(0,J72-I73)</f>
        <v>0</v>
      </c>
      <c r="K74" s="32" t="n">
        <f aca="false">Tax_Rate*MAX(0,K72-J73)</f>
        <v>0</v>
      </c>
      <c r="L74" s="32" t="n">
        <f aca="false">Tax_Rate*MAX(0,L72-K73)</f>
        <v>0</v>
      </c>
      <c r="M74" s="32" t="n">
        <f aca="false">Tax_Rate*MAX(0,M72-L73)</f>
        <v>214744.191927458</v>
      </c>
      <c r="N74" s="32" t="n">
        <f aca="false">Tax_Rate*MAX(0,N72-M73)</f>
        <v>619257.339570467</v>
      </c>
      <c r="O74" s="32" t="n">
        <f aca="false">Tax_Rate*MAX(0,O72-N73)</f>
        <v>683624.762018306</v>
      </c>
      <c r="P74" s="32" t="n">
        <f aca="false">Tax_Rate*MAX(0,P72-O73)</f>
        <v>753176.078328878</v>
      </c>
      <c r="Q74" s="32" t="n">
        <f aca="false">Tax_Rate*MAX(0,Q72-P73)</f>
        <v>790605.988647095</v>
      </c>
      <c r="R74" s="32" t="n">
        <f aca="false">Tax_Rate*MAX(0,R72-Q73)</f>
        <v>829896.01274705</v>
      </c>
      <c r="S74" s="32" t="n">
        <f aca="false">Tax_Rate*MAX(0,S72-R73)</f>
        <v>871138.5903611</v>
      </c>
      <c r="T74" s="32" t="n">
        <f aca="false">Tax_Rate*MAX(0,T72-S73)</f>
        <v>914430.755066018</v>
      </c>
      <c r="U74" s="32" t="n">
        <f aca="false">Tax_Rate*MAX(0,U72-T73)</f>
        <v>959874.36257585</v>
      </c>
      <c r="V74" s="32" t="n">
        <f aca="false">Tax_Rate*MAX(0,V72-U73)</f>
        <v>1007576.33037982</v>
      </c>
      <c r="W74" s="32" t="n">
        <f aca="false">Tax_Rate*MAX(0,W72-V73)</f>
        <v>1057648.88928908</v>
      </c>
      <c r="X74" s="32" t="n">
        <f aca="false">Tax_Rate*MAX(0,X72-W73)</f>
        <v>1110209.84748416</v>
      </c>
      <c r="Y74" s="32" t="n">
        <f aca="false">Tax_Rate*MAX(0,Y72-X73)</f>
        <v>1165382.86768425</v>
      </c>
      <c r="Z74" s="32" t="n">
        <f aca="false">Tax_Rate*MAX(0,Z72-Y73)</f>
        <v>0</v>
      </c>
      <c r="AA74" s="32" t="n">
        <f aca="false">Tax_Rate*MAX(0,AA72-Z73)</f>
        <v>0</v>
      </c>
      <c r="AB74" s="32" t="n">
        <f aca="false">Tax_Rate*MAX(0,AB72-AA73)</f>
        <v>0</v>
      </c>
      <c r="AC74" s="32" t="n">
        <f aca="false">Tax_Rate*MAX(0,AC72-AB73)</f>
        <v>0</v>
      </c>
      <c r="AD74" s="32" t="n">
        <f aca="false">Tax_Rate*MAX(0,AD72-AC73)</f>
        <v>0</v>
      </c>
    </row>
    <row r="75" customFormat="false" ht="15" hidden="false" customHeight="false" outlineLevel="1" collapsed="false">
      <c r="B75" s="4" t="s">
        <v>176</v>
      </c>
      <c r="C75" s="24" t="s">
        <v>120</v>
      </c>
      <c r="F75" s="32" t="n">
        <f aca="false">F66-F74</f>
        <v>1717500</v>
      </c>
      <c r="G75" s="32" t="n">
        <f aca="false">G66-G74</f>
        <v>1802853.1875</v>
      </c>
      <c r="H75" s="32" t="n">
        <f aca="false">H66-H74</f>
        <v>1892448.08724844</v>
      </c>
      <c r="I75" s="32" t="n">
        <f aca="false">I66-I74</f>
        <v>1986495.49463687</v>
      </c>
      <c r="J75" s="32" t="n">
        <f aca="false">J66-J74</f>
        <v>2085216.68067018</v>
      </c>
      <c r="K75" s="32" t="n">
        <f aca="false">K66-K74</f>
        <v>2188843.91255713</v>
      </c>
      <c r="L75" s="32" t="n">
        <f aca="false">L66-L74</f>
        <v>2297621.00017169</v>
      </c>
      <c r="M75" s="32" t="n">
        <f aca="false">M66-M74</f>
        <v>2197059.67774356</v>
      </c>
      <c r="N75" s="32" t="n">
        <f aca="false">N66-N74</f>
        <v>1912403.82604902</v>
      </c>
      <c r="O75" s="32" t="n">
        <f aca="false">O66-O74</f>
        <v>1973850.12101714</v>
      </c>
      <c r="P75" s="32" t="n">
        <f aca="false">P66-P74</f>
        <v>2036364.95251882</v>
      </c>
      <c r="Q75" s="32" t="n">
        <f aca="false">Q66-Q74</f>
        <v>2137564.33967548</v>
      </c>
      <c r="R75" s="32" t="n">
        <f aca="false">R66-R74</f>
        <v>2243792.92335314</v>
      </c>
      <c r="S75" s="32" t="n">
        <f aca="false">S66-S74</f>
        <v>2355300.63319853</v>
      </c>
      <c r="T75" s="32" t="n">
        <f aca="false">T66-T74</f>
        <v>2472349.81925257</v>
      </c>
      <c r="U75" s="32" t="n">
        <f aca="false">U66-U74</f>
        <v>2595215.86918656</v>
      </c>
      <c r="V75" s="32" t="n">
        <f aca="false">V66-V74</f>
        <v>2724187.85621209</v>
      </c>
      <c r="W75" s="32" t="n">
        <f aca="false">W66-W74</f>
        <v>2859569.21918899</v>
      </c>
      <c r="X75" s="32" t="n">
        <f aca="false">X66-X74</f>
        <v>3001678.47653125</v>
      </c>
      <c r="Y75" s="32" t="n">
        <f aca="false">Y66-Y74</f>
        <v>3150849.97559075</v>
      </c>
      <c r="Z75" s="32" t="n">
        <f aca="false">Z66-Z74</f>
        <v>0</v>
      </c>
      <c r="AA75" s="32" t="n">
        <f aca="false">AA66-AA74</f>
        <v>0</v>
      </c>
      <c r="AB75" s="32" t="n">
        <f aca="false">AB66-AB74</f>
        <v>0</v>
      </c>
      <c r="AC75" s="32" t="n">
        <f aca="false">AC66-AC74</f>
        <v>0</v>
      </c>
      <c r="AD75" s="32" t="n">
        <f aca="false">AD66-AD74</f>
        <v>0</v>
      </c>
    </row>
    <row r="76" customFormat="false" ht="15" hidden="false" customHeight="false" outlineLevel="1" collapsed="false">
      <c r="B76" s="4" t="s">
        <v>278</v>
      </c>
      <c r="C76" s="24" t="s">
        <v>111</v>
      </c>
      <c r="F76" s="62" t="n">
        <f aca="false">IF(AND(Calculations!F$7=1,F68&gt;0),F75/F68,"")</f>
        <v>1.41113194379513</v>
      </c>
      <c r="G76" s="62" t="n">
        <f aca="false">IF(AND(Calculations!G$7=1,G68&gt;0),G75/G68,"")</f>
        <v>1.48125980952205</v>
      </c>
      <c r="H76" s="62" t="n">
        <f aca="false">IF(AND(Calculations!H$7=1,H68&gt;0),H75/H68,"")</f>
        <v>1.55487274986333</v>
      </c>
      <c r="I76" s="62" t="n">
        <f aca="false">IF(AND(Calculations!I$7=1,I68&gt;0),I75/I68,"")</f>
        <v>1.63214395847871</v>
      </c>
      <c r="J76" s="62" t="n">
        <f aca="false">IF(AND(Calculations!J$7=1,J68&gt;0),J75/J68,"")</f>
        <v>1.71325523599892</v>
      </c>
      <c r="K76" s="62" t="n">
        <f aca="false">IF(AND(Calculations!K$7=1,K68&gt;0),K75/K68,"")</f>
        <v>1.79839741775306</v>
      </c>
      <c r="L76" s="62" t="n">
        <f aca="false">IF(AND(Calculations!L$7=1,L68&gt;0),L75/L68,"")</f>
        <v>1.88777082275214</v>
      </c>
      <c r="M76" s="62" t="n">
        <f aca="false">IF(AND(Calculations!M$7=1,M68&gt;0),M75/M68,"")</f>
        <v>1.80514765280243</v>
      </c>
      <c r="N76" s="62" t="n">
        <f aca="false">IF(AND(Calculations!N$7=1,N68&gt;0),N75/N68,"")</f>
        <v>1.57126877925694</v>
      </c>
      <c r="O76" s="62" t="n">
        <f aca="false">IF(AND(Calculations!O$7=1,O68&gt;0),O75/O68,"")</f>
        <v>1.62175426959603</v>
      </c>
      <c r="P76" s="62" t="str">
        <f aca="false">IF(AND(Calculations!P$7=1,P68&gt;0),P75/P68,"")</f>
        <v/>
      </c>
      <c r="Q76" s="62" t="str">
        <f aca="false">IF(AND(Calculations!Q$7=1,Q68&gt;0),Q75/Q68,"")</f>
        <v/>
      </c>
      <c r="R76" s="62" t="str">
        <f aca="false">IF(AND(Calculations!R$7=1,R68&gt;0),R75/R68,"")</f>
        <v/>
      </c>
      <c r="S76" s="62" t="str">
        <f aca="false">IF(AND(Calculations!S$7=1,S68&gt;0),S75/S68,"")</f>
        <v/>
      </c>
      <c r="T76" s="62" t="str">
        <f aca="false">IF(AND(Calculations!T$7=1,T68&gt;0),T75/T68,"")</f>
        <v/>
      </c>
      <c r="U76" s="62" t="str">
        <f aca="false">IF(AND(Calculations!U$7=1,U68&gt;0),U75/U68,"")</f>
        <v/>
      </c>
      <c r="V76" s="62" t="str">
        <f aca="false">IF(AND(Calculations!V$7=1,V68&gt;0),V75/V68,"")</f>
        <v/>
      </c>
      <c r="W76" s="62" t="str">
        <f aca="false">IF(AND(Calculations!W$7=1,W68&gt;0),W75/W68,"")</f>
        <v/>
      </c>
      <c r="X76" s="62" t="str">
        <f aca="false">IF(AND(Calculations!X$7=1,X68&gt;0),X75/X68,"")</f>
        <v/>
      </c>
      <c r="Y76" s="62" t="str">
        <f aca="false">IF(AND(Calculations!Y$7=1,Y68&gt;0),Y75/Y68,"")</f>
        <v/>
      </c>
      <c r="Z76" s="62" t="str">
        <f aca="false">IF(AND(Calculations!Z$7=1,Z68&gt;0),Z75/Z68,"")</f>
        <v/>
      </c>
      <c r="AA76" s="62" t="str">
        <f aca="false">IF(AND(Calculations!AA$7=1,AA68&gt;0),AA75/AA68,"")</f>
        <v/>
      </c>
      <c r="AB76" s="62" t="str">
        <f aca="false">IF(AND(Calculations!AB$7=1,AB68&gt;0),AB75/AB68,"")</f>
        <v/>
      </c>
      <c r="AC76" s="62" t="str">
        <f aca="false">IF(AND(Calculations!AC$7=1,AC68&gt;0),AC75/AC68,"")</f>
        <v/>
      </c>
      <c r="AD76" s="62" t="str">
        <f aca="false">IF(AND(Calculations!AD$7=1,AD68&gt;0),AD75/AD68,"")</f>
        <v/>
      </c>
    </row>
    <row r="77" customFormat="false" ht="15" hidden="false" customHeight="false" outlineLevel="1" collapsed="false">
      <c r="B77" s="4" t="s">
        <v>182</v>
      </c>
      <c r="C77" s="24" t="s">
        <v>120</v>
      </c>
      <c r="E77" s="32" t="n">
        <f aca="false">-($D$61-$D$62)</f>
        <v>-3780000</v>
      </c>
      <c r="F77" s="32" t="n">
        <f aca="false">F75-F68</f>
        <v>500391.984302392</v>
      </c>
      <c r="G77" s="32" t="n">
        <f aca="false">G75-G68</f>
        <v>585745.171802392</v>
      </c>
      <c r="H77" s="32" t="n">
        <f aca="false">H75-H68</f>
        <v>675340.071550829</v>
      </c>
      <c r="I77" s="32" t="n">
        <f aca="false">I75-I68</f>
        <v>769387.478939258</v>
      </c>
      <c r="J77" s="32" t="n">
        <f aca="false">J75-J68</f>
        <v>868108.664972576</v>
      </c>
      <c r="K77" s="32" t="n">
        <f aca="false">K75-K68</f>
        <v>971735.896859526</v>
      </c>
      <c r="L77" s="32" t="n">
        <f aca="false">L75-L68</f>
        <v>1080512.98447409</v>
      </c>
      <c r="M77" s="32" t="n">
        <f aca="false">M75-M68</f>
        <v>979951.662045953</v>
      </c>
      <c r="N77" s="32" t="n">
        <f aca="false">N75-N68</f>
        <v>695295.810351414</v>
      </c>
      <c r="O77" s="32" t="n">
        <f aca="false">O75-O68</f>
        <v>756742.105319535</v>
      </c>
      <c r="P77" s="32" t="n">
        <f aca="false">P75-P68</f>
        <v>2036364.95251882</v>
      </c>
      <c r="Q77" s="32" t="n">
        <f aca="false">Q75-Q68</f>
        <v>2137564.33967548</v>
      </c>
      <c r="R77" s="32" t="n">
        <f aca="false">R75-R68</f>
        <v>2243792.92335314</v>
      </c>
      <c r="S77" s="32" t="n">
        <f aca="false">S75-S68</f>
        <v>2355300.63319853</v>
      </c>
      <c r="T77" s="32" t="n">
        <f aca="false">T75-T68</f>
        <v>2472349.81925257</v>
      </c>
      <c r="U77" s="32" t="n">
        <f aca="false">U75-U68</f>
        <v>2595215.86918656</v>
      </c>
      <c r="V77" s="32" t="n">
        <f aca="false">V75-V68</f>
        <v>2724187.85621209</v>
      </c>
      <c r="W77" s="32" t="n">
        <f aca="false">W75-W68</f>
        <v>2859569.21918899</v>
      </c>
      <c r="X77" s="32" t="n">
        <f aca="false">X75-X68</f>
        <v>3001678.47653125</v>
      </c>
      <c r="Y77" s="32" t="n">
        <f aca="false">Y75-Y68</f>
        <v>3150849.97559075</v>
      </c>
      <c r="Z77" s="32" t="n">
        <f aca="false">Z75-Z68</f>
        <v>0</v>
      </c>
      <c r="AA77" s="32" t="n">
        <f aca="false">AA75-AA68</f>
        <v>0</v>
      </c>
      <c r="AB77" s="32" t="n">
        <f aca="false">AB75-AB68</f>
        <v>0</v>
      </c>
      <c r="AC77" s="32" t="n">
        <f aca="false">AC75-AC68</f>
        <v>0</v>
      </c>
      <c r="AD77" s="32" t="n">
        <f aca="false">AD75-AD68</f>
        <v>0</v>
      </c>
    </row>
    <row r="78" customFormat="false" ht="15" hidden="false" customHeight="false" outlineLevel="1" collapsed="false">
      <c r="B78" s="3" t="s">
        <v>208</v>
      </c>
      <c r="C78" s="24" t="s">
        <v>97</v>
      </c>
      <c r="D78" s="76" t="n">
        <f aca="false">IRR(E77:AD77)</f>
        <v>0.233511549023135</v>
      </c>
    </row>
    <row r="79" customFormat="false" ht="15" hidden="false" customHeight="false" outlineLevel="1" collapsed="false">
      <c r="B79" s="3" t="s">
        <v>210</v>
      </c>
      <c r="C79" s="24" t="s">
        <v>111</v>
      </c>
      <c r="D79" s="49" t="n">
        <f aca="false">MIN(F76:AD76)</f>
        <v>1.41113194379513</v>
      </c>
    </row>
    <row r="80" customFormat="false" ht="15" hidden="false" customHeight="false" outlineLevel="1" collapsed="false">
      <c r="B80" s="3" t="s">
        <v>262</v>
      </c>
      <c r="C80" s="24" t="s">
        <v>120</v>
      </c>
      <c r="D80" s="44" t="n">
        <f aca="false">E77+NPV(Equity_Discount_Rate,F77:AD77)</f>
        <v>2436139.13656734</v>
      </c>
    </row>
    <row r="82" customFormat="false" ht="15" hidden="false" customHeight="false" outlineLevel="0" collapsed="false">
      <c r="B82" s="21" t="s">
        <v>280</v>
      </c>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row>
    <row r="83" customFormat="false" ht="15" hidden="false" customHeight="false" outlineLevel="1" collapsed="false">
      <c r="B83" s="4" t="s">
        <v>258</v>
      </c>
      <c r="C83" s="24" t="s">
        <v>111</v>
      </c>
      <c r="D83" s="62" t="n">
        <f aca="false">1+Sens_Tariff_Flex</f>
        <v>1.1</v>
      </c>
    </row>
    <row r="84" customFormat="false" ht="15" hidden="false" customHeight="false" outlineLevel="1" collapsed="false">
      <c r="B84" s="4" t="s">
        <v>259</v>
      </c>
      <c r="C84" s="24" t="s">
        <v>111</v>
      </c>
      <c r="D84" s="62" t="n">
        <f aca="false">1-Sens_Capex_Flex</f>
        <v>0.9</v>
      </c>
    </row>
    <row r="85" customFormat="false" ht="15" hidden="false" customHeight="false" outlineLevel="1" collapsed="false">
      <c r="B85" s="4" t="s">
        <v>271</v>
      </c>
      <c r="C85" s="24" t="s">
        <v>120</v>
      </c>
      <c r="D85" s="32" t="n">
        <f aca="false">Capex_Total*D84</f>
        <v>10800000</v>
      </c>
    </row>
    <row r="86" customFormat="false" ht="15" hidden="false" customHeight="false" outlineLevel="1" collapsed="false">
      <c r="B86" s="4" t="s">
        <v>272</v>
      </c>
      <c r="C86" s="24" t="s">
        <v>120</v>
      </c>
      <c r="D86" s="32" t="n">
        <f aca="false">D85*Gearing</f>
        <v>7020000</v>
      </c>
    </row>
    <row r="87" customFormat="false" ht="15" hidden="false" customHeight="false" outlineLevel="1" collapsed="false">
      <c r="B87" s="4" t="s">
        <v>273</v>
      </c>
      <c r="C87" s="24" t="s">
        <v>120</v>
      </c>
      <c r="D87" s="32" t="n">
        <f aca="false">-PMT(Interest_Rate,Debt_Tenor,D86)</f>
        <v>1217108.01569761</v>
      </c>
    </row>
    <row r="88" customFormat="false" ht="15" hidden="false" customHeight="false" outlineLevel="1" collapsed="false">
      <c r="B88" s="4" t="s">
        <v>144</v>
      </c>
      <c r="C88" s="24"/>
      <c r="E88" s="75" t="n">
        <f aca="false">Calculations!E$5</f>
        <v>0</v>
      </c>
      <c r="F88" s="75" t="n">
        <f aca="false">Calculations!F$5</f>
        <v>1</v>
      </c>
      <c r="G88" s="75" t="n">
        <f aca="false">Calculations!G$5</f>
        <v>2</v>
      </c>
      <c r="H88" s="75" t="n">
        <f aca="false">Calculations!H$5</f>
        <v>3</v>
      </c>
      <c r="I88" s="75" t="n">
        <f aca="false">Calculations!I$5</f>
        <v>4</v>
      </c>
      <c r="J88" s="75" t="n">
        <f aca="false">Calculations!J$5</f>
        <v>5</v>
      </c>
      <c r="K88" s="75" t="n">
        <f aca="false">Calculations!K$5</f>
        <v>6</v>
      </c>
      <c r="L88" s="75" t="n">
        <f aca="false">Calculations!L$5</f>
        <v>7</v>
      </c>
      <c r="M88" s="75" t="n">
        <f aca="false">Calculations!M$5</f>
        <v>8</v>
      </c>
      <c r="N88" s="75" t="n">
        <f aca="false">Calculations!N$5</f>
        <v>9</v>
      </c>
      <c r="O88" s="75" t="n">
        <f aca="false">Calculations!O$5</f>
        <v>10</v>
      </c>
      <c r="P88" s="75" t="n">
        <f aca="false">Calculations!P$5</f>
        <v>11</v>
      </c>
      <c r="Q88" s="75" t="n">
        <f aca="false">Calculations!Q$5</f>
        <v>12</v>
      </c>
      <c r="R88" s="75" t="n">
        <f aca="false">Calculations!R$5</f>
        <v>13</v>
      </c>
      <c r="S88" s="75" t="n">
        <f aca="false">Calculations!S$5</f>
        <v>14</v>
      </c>
      <c r="T88" s="75" t="n">
        <f aca="false">Calculations!T$5</f>
        <v>15</v>
      </c>
      <c r="U88" s="75" t="n">
        <f aca="false">Calculations!U$5</f>
        <v>16</v>
      </c>
      <c r="V88" s="75" t="n">
        <f aca="false">Calculations!V$5</f>
        <v>17</v>
      </c>
      <c r="W88" s="75" t="n">
        <f aca="false">Calculations!W$5</f>
        <v>18</v>
      </c>
      <c r="X88" s="75" t="n">
        <f aca="false">Calculations!X$5</f>
        <v>19</v>
      </c>
      <c r="Y88" s="75" t="n">
        <f aca="false">Calculations!Y$5</f>
        <v>20</v>
      </c>
      <c r="Z88" s="75" t="n">
        <f aca="false">Calculations!Z$5</f>
        <v>21</v>
      </c>
      <c r="AA88" s="75" t="n">
        <f aca="false">Calculations!AA$5</f>
        <v>22</v>
      </c>
      <c r="AB88" s="75" t="n">
        <f aca="false">Calculations!AB$5</f>
        <v>23</v>
      </c>
      <c r="AC88" s="75" t="n">
        <f aca="false">Calculations!AC$5</f>
        <v>24</v>
      </c>
      <c r="AD88" s="75" t="n">
        <f aca="false">Calculations!AD$5</f>
        <v>25</v>
      </c>
    </row>
    <row r="89" customFormat="false" ht="15" hidden="false" customHeight="false" outlineLevel="1" collapsed="false">
      <c r="B89" s="4" t="s">
        <v>152</v>
      </c>
      <c r="C89" s="24" t="s">
        <v>120</v>
      </c>
      <c r="F89" s="32" t="n">
        <f aca="false">Calculations!F$12*$D$83</f>
        <v>2087250</v>
      </c>
      <c r="G89" s="32" t="n">
        <f aca="false">Calculations!G$12*$D$83</f>
        <v>2191038.50625</v>
      </c>
      <c r="H89" s="32" t="n">
        <f aca="false">Calculations!H$12*$D$83</f>
        <v>2299987.89597328</v>
      </c>
      <c r="I89" s="32" t="n">
        <f aca="false">Calculations!I$12*$D$83</f>
        <v>2414354.79410055</v>
      </c>
      <c r="J89" s="32" t="n">
        <f aca="false">Calculations!J$12*$D$83</f>
        <v>2534408.5862372</v>
      </c>
      <c r="K89" s="32" t="n">
        <f aca="false">Calculations!K$12*$D$83</f>
        <v>2660432.05318785</v>
      </c>
      <c r="L89" s="32" t="n">
        <f aca="false">Calculations!L$12*$D$83</f>
        <v>2792722.03703261</v>
      </c>
      <c r="M89" s="32" t="n">
        <f aca="false">Calculations!M$12*$D$83</f>
        <v>2931590.14032406</v>
      </c>
      <c r="N89" s="32" t="n">
        <f aca="false">Calculations!N$12*$D$83</f>
        <v>3077363.46005167</v>
      </c>
      <c r="O89" s="32" t="n">
        <f aca="false">Calculations!O$12*$D$83</f>
        <v>3230385.35810274</v>
      </c>
      <c r="P89" s="32" t="n">
        <f aca="false">Calculations!P$12*$D$83</f>
        <v>3391016.2700344</v>
      </c>
      <c r="Q89" s="32" t="n">
        <f aca="false">Calculations!Q$12*$D$83</f>
        <v>3559634.55406186</v>
      </c>
      <c r="R89" s="32" t="n">
        <f aca="false">Calculations!R$12*$D$83</f>
        <v>3736637.38226259</v>
      </c>
      <c r="S89" s="32" t="n">
        <f aca="false">Calculations!S$12*$D$83</f>
        <v>3922441.67609559</v>
      </c>
      <c r="T89" s="32" t="n">
        <f aca="false">Calculations!T$12*$D$83</f>
        <v>4117485.08843945</v>
      </c>
      <c r="U89" s="32" t="n">
        <f aca="false">Calculations!U$12*$D$83</f>
        <v>4322227.0344621</v>
      </c>
      <c r="V89" s="32" t="n">
        <f aca="false">Calculations!V$12*$D$83</f>
        <v>4537149.77375072</v>
      </c>
      <c r="W89" s="32" t="n">
        <f aca="false">Calculations!W$12*$D$83</f>
        <v>4762759.54625048</v>
      </c>
      <c r="X89" s="32" t="n">
        <f aca="false">Calculations!X$12*$D$83</f>
        <v>4999587.76468779</v>
      </c>
      <c r="Y89" s="32" t="n">
        <f aca="false">Calculations!Y$12*$D$83</f>
        <v>5248192.26628688</v>
      </c>
      <c r="Z89" s="32" t="n">
        <f aca="false">Calculations!Z$12*$D$83</f>
        <v>0</v>
      </c>
      <c r="AA89" s="32" t="n">
        <f aca="false">Calculations!AA$12*$D$83</f>
        <v>0</v>
      </c>
      <c r="AB89" s="32" t="n">
        <f aca="false">Calculations!AB$12*$D$83</f>
        <v>0</v>
      </c>
      <c r="AC89" s="32" t="n">
        <f aca="false">Calculations!AC$12*$D$83</f>
        <v>0</v>
      </c>
      <c r="AD89" s="32" t="n">
        <f aca="false">Calculations!AD$12*$D$83</f>
        <v>0</v>
      </c>
    </row>
    <row r="90" customFormat="false" ht="15" hidden="false" customHeight="false" outlineLevel="1" collapsed="false">
      <c r="B90" s="4" t="s">
        <v>155</v>
      </c>
      <c r="C90" s="24" t="s">
        <v>120</v>
      </c>
      <c r="F90" s="32" t="n">
        <f aca="false">F89-Calculations!F$15</f>
        <v>1907250</v>
      </c>
      <c r="G90" s="32" t="n">
        <f aca="false">G89-Calculations!G$15</f>
        <v>2002038.50625</v>
      </c>
      <c r="H90" s="32" t="n">
        <f aca="false">H89-Calculations!H$15</f>
        <v>2101537.89597328</v>
      </c>
      <c r="I90" s="32" t="n">
        <f aca="false">I89-Calculations!I$15</f>
        <v>2205982.29410055</v>
      </c>
      <c r="J90" s="32" t="n">
        <f aca="false">J89-Calculations!J$15</f>
        <v>2315617.4612372</v>
      </c>
      <c r="K90" s="32" t="n">
        <f aca="false">K89-Calculations!K$15</f>
        <v>2430701.37193785</v>
      </c>
      <c r="L90" s="32" t="n">
        <f aca="false">L89-Calculations!L$15</f>
        <v>2551504.82172011</v>
      </c>
      <c r="M90" s="32" t="n">
        <f aca="false">M89-Calculations!M$15</f>
        <v>2678312.06424593</v>
      </c>
      <c r="N90" s="32" t="n">
        <f aca="false">N89-Calculations!N$15</f>
        <v>2811421.48016964</v>
      </c>
      <c r="O90" s="32" t="n">
        <f aca="false">O89-Calculations!O$15</f>
        <v>2951146.27922661</v>
      </c>
      <c r="P90" s="32" t="n">
        <f aca="false">P89-Calculations!P$15</f>
        <v>3097815.23721446</v>
      </c>
      <c r="Q90" s="32" t="n">
        <f aca="false">Q89-Calculations!Q$15</f>
        <v>3251773.46960092</v>
      </c>
      <c r="R90" s="32" t="n">
        <f aca="false">R89-Calculations!R$15</f>
        <v>3413383.2435786</v>
      </c>
      <c r="S90" s="32" t="n">
        <f aca="false">S89-Calculations!S$15</f>
        <v>3583024.83047741</v>
      </c>
      <c r="T90" s="32" t="n">
        <f aca="false">T89-Calculations!T$15</f>
        <v>3761097.40054035</v>
      </c>
      <c r="U90" s="32" t="n">
        <f aca="false">U89-Calculations!U$15</f>
        <v>3948019.96216805</v>
      </c>
      <c r="V90" s="32" t="n">
        <f aca="false">V89-Calculations!V$15</f>
        <v>4144232.34784198</v>
      </c>
      <c r="W90" s="32" t="n">
        <f aca="false">W89-Calculations!W$15</f>
        <v>4350196.24904629</v>
      </c>
      <c r="X90" s="32" t="n">
        <f aca="false">X89-Calculations!X$15</f>
        <v>4566396.30262339</v>
      </c>
      <c r="Y90" s="32" t="n">
        <f aca="false">Y89-Calculations!Y$15</f>
        <v>4793341.23111927</v>
      </c>
      <c r="Z90" s="32" t="n">
        <f aca="false">Z89-Calculations!Z$15</f>
        <v>0</v>
      </c>
      <c r="AA90" s="32" t="n">
        <f aca="false">AA89-Calculations!AA$15</f>
        <v>0</v>
      </c>
      <c r="AB90" s="32" t="n">
        <f aca="false">AB89-Calculations!AB$15</f>
        <v>0</v>
      </c>
      <c r="AC90" s="32" t="n">
        <f aca="false">AC89-Calculations!AC$15</f>
        <v>0</v>
      </c>
      <c r="AD90" s="32" t="n">
        <f aca="false">AD89-Calculations!AD$15</f>
        <v>0</v>
      </c>
    </row>
    <row r="91" customFormat="false" ht="15" hidden="false" customHeight="false" outlineLevel="1" collapsed="false">
      <c r="B91" s="4" t="s">
        <v>274</v>
      </c>
      <c r="C91" s="24" t="s">
        <v>120</v>
      </c>
      <c r="F91" s="32" t="n">
        <f aca="false">E94*Interest_Rate*Calculations!F$7</f>
        <v>807300</v>
      </c>
      <c r="G91" s="32" t="n">
        <f aca="false">F94*Interest_Rate*Calculations!G$7</f>
        <v>760172.078194775</v>
      </c>
      <c r="H91" s="32" t="n">
        <f aca="false">G94*Interest_Rate*Calculations!H$7</f>
        <v>707624.445381949</v>
      </c>
      <c r="I91" s="32" t="n">
        <f aca="false">H94*Interest_Rate*Calculations!I$7</f>
        <v>649033.834795649</v>
      </c>
      <c r="J91" s="32" t="n">
        <f aca="false">I94*Interest_Rate*Calculations!J$7</f>
        <v>583705.303991924</v>
      </c>
      <c r="K91" s="32" t="n">
        <f aca="false">J94*Interest_Rate*Calculations!K$7</f>
        <v>510863.99214577</v>
      </c>
      <c r="L91" s="32" t="n">
        <f aca="false">K94*Interest_Rate*Calculations!L$7</f>
        <v>429645.929437308</v>
      </c>
      <c r="M91" s="32" t="n">
        <f aca="false">L94*Interest_Rate*Calculations!M$7</f>
        <v>339087.789517374</v>
      </c>
      <c r="N91" s="32" t="n">
        <f aca="false">M94*Interest_Rate*Calculations!N$7</f>
        <v>238115.463506647</v>
      </c>
      <c r="O91" s="32" t="n">
        <f aca="false">N94*Interest_Rate*Calculations!O$7</f>
        <v>125531.320004686</v>
      </c>
      <c r="P91" s="32" t="n">
        <f aca="false">O94*Interest_Rate*Calculations!P$7</f>
        <v>0</v>
      </c>
      <c r="Q91" s="32" t="n">
        <f aca="false">P94*Interest_Rate*Calculations!Q$7</f>
        <v>0</v>
      </c>
      <c r="R91" s="32" t="n">
        <f aca="false">Q94*Interest_Rate*Calculations!R$7</f>
        <v>0</v>
      </c>
      <c r="S91" s="32" t="n">
        <f aca="false">R94*Interest_Rate*Calculations!S$7</f>
        <v>0</v>
      </c>
      <c r="T91" s="32" t="n">
        <f aca="false">S94*Interest_Rate*Calculations!T$7</f>
        <v>0</v>
      </c>
      <c r="U91" s="32" t="n">
        <f aca="false">T94*Interest_Rate*Calculations!U$7</f>
        <v>0</v>
      </c>
      <c r="V91" s="32" t="n">
        <f aca="false">U94*Interest_Rate*Calculations!V$7</f>
        <v>0</v>
      </c>
      <c r="W91" s="32" t="n">
        <f aca="false">V94*Interest_Rate*Calculations!W$7</f>
        <v>0</v>
      </c>
      <c r="X91" s="32" t="n">
        <f aca="false">W94*Interest_Rate*Calculations!X$7</f>
        <v>0</v>
      </c>
      <c r="Y91" s="32" t="n">
        <f aca="false">X94*Interest_Rate*Calculations!Y$7</f>
        <v>0</v>
      </c>
      <c r="Z91" s="32" t="n">
        <f aca="false">Y94*Interest_Rate*Calculations!Z$7</f>
        <v>0</v>
      </c>
      <c r="AA91" s="32" t="n">
        <f aca="false">Z94*Interest_Rate*Calculations!AA$7</f>
        <v>0</v>
      </c>
      <c r="AB91" s="32" t="n">
        <f aca="false">AA94*Interest_Rate*Calculations!AB$7</f>
        <v>0</v>
      </c>
      <c r="AC91" s="32" t="n">
        <f aca="false">AB94*Interest_Rate*Calculations!AC$7</f>
        <v>0</v>
      </c>
      <c r="AD91" s="32" t="n">
        <f aca="false">AC94*Interest_Rate*Calculations!AD$7</f>
        <v>0</v>
      </c>
    </row>
    <row r="92" customFormat="false" ht="15" hidden="false" customHeight="false" outlineLevel="1" collapsed="false">
      <c r="B92" s="4" t="s">
        <v>177</v>
      </c>
      <c r="C92" s="24" t="s">
        <v>120</v>
      </c>
      <c r="F92" s="32" t="n">
        <f aca="false">$D$87*Calculations!F$7</f>
        <v>1217108.01569761</v>
      </c>
      <c r="G92" s="32" t="n">
        <f aca="false">$D$87*Calculations!G$7</f>
        <v>1217108.01569761</v>
      </c>
      <c r="H92" s="32" t="n">
        <f aca="false">$D$87*Calculations!H$7</f>
        <v>1217108.01569761</v>
      </c>
      <c r="I92" s="32" t="n">
        <f aca="false">$D$87*Calculations!I$7</f>
        <v>1217108.01569761</v>
      </c>
      <c r="J92" s="32" t="n">
        <f aca="false">$D$87*Calculations!J$7</f>
        <v>1217108.01569761</v>
      </c>
      <c r="K92" s="32" t="n">
        <f aca="false">$D$87*Calculations!K$7</f>
        <v>1217108.01569761</v>
      </c>
      <c r="L92" s="32" t="n">
        <f aca="false">$D$87*Calculations!L$7</f>
        <v>1217108.01569761</v>
      </c>
      <c r="M92" s="32" t="n">
        <f aca="false">$D$87*Calculations!M$7</f>
        <v>1217108.01569761</v>
      </c>
      <c r="N92" s="32" t="n">
        <f aca="false">$D$87*Calculations!N$7</f>
        <v>1217108.01569761</v>
      </c>
      <c r="O92" s="32" t="n">
        <f aca="false">$D$87*Calculations!O$7</f>
        <v>1217108.01569761</v>
      </c>
      <c r="P92" s="32" t="n">
        <f aca="false">$D$87*Calculations!P$7</f>
        <v>0</v>
      </c>
      <c r="Q92" s="32" t="n">
        <f aca="false">$D$87*Calculations!Q$7</f>
        <v>0</v>
      </c>
      <c r="R92" s="32" t="n">
        <f aca="false">$D$87*Calculations!R$7</f>
        <v>0</v>
      </c>
      <c r="S92" s="32" t="n">
        <f aca="false">$D$87*Calculations!S$7</f>
        <v>0</v>
      </c>
      <c r="T92" s="32" t="n">
        <f aca="false">$D$87*Calculations!T$7</f>
        <v>0</v>
      </c>
      <c r="U92" s="32" t="n">
        <f aca="false">$D$87*Calculations!U$7</f>
        <v>0</v>
      </c>
      <c r="V92" s="32" t="n">
        <f aca="false">$D$87*Calculations!V$7</f>
        <v>0</v>
      </c>
      <c r="W92" s="32" t="n">
        <f aca="false">$D$87*Calculations!W$7</f>
        <v>0</v>
      </c>
      <c r="X92" s="32" t="n">
        <f aca="false">$D$87*Calculations!X$7</f>
        <v>0</v>
      </c>
      <c r="Y92" s="32" t="n">
        <f aca="false">$D$87*Calculations!Y$7</f>
        <v>0</v>
      </c>
      <c r="Z92" s="32" t="n">
        <f aca="false">$D$87*Calculations!Z$7</f>
        <v>0</v>
      </c>
      <c r="AA92" s="32" t="n">
        <f aca="false">$D$87*Calculations!AA$7</f>
        <v>0</v>
      </c>
      <c r="AB92" s="32" t="n">
        <f aca="false">$D$87*Calculations!AB$7</f>
        <v>0</v>
      </c>
      <c r="AC92" s="32" t="n">
        <f aca="false">$D$87*Calculations!AC$7</f>
        <v>0</v>
      </c>
      <c r="AD92" s="32" t="n">
        <f aca="false">$D$87*Calculations!AD$7</f>
        <v>0</v>
      </c>
    </row>
    <row r="93" customFormat="false" ht="15" hidden="false" customHeight="false" outlineLevel="1" collapsed="false">
      <c r="B93" s="4" t="s">
        <v>275</v>
      </c>
      <c r="C93" s="24" t="s">
        <v>120</v>
      </c>
      <c r="F93" s="32" t="n">
        <f aca="false">F92-F91</f>
        <v>409808.015697608</v>
      </c>
      <c r="G93" s="32" t="n">
        <f aca="false">G92-G91</f>
        <v>456935.937502833</v>
      </c>
      <c r="H93" s="32" t="n">
        <f aca="false">H92-H91</f>
        <v>509483.570315658</v>
      </c>
      <c r="I93" s="32" t="n">
        <f aca="false">I92-I91</f>
        <v>568074.180901959</v>
      </c>
      <c r="J93" s="32" t="n">
        <f aca="false">J92-J91</f>
        <v>633402.711705684</v>
      </c>
      <c r="K93" s="32" t="n">
        <f aca="false">K92-K91</f>
        <v>706244.023551838</v>
      </c>
      <c r="L93" s="32" t="n">
        <f aca="false">L92-L91</f>
        <v>787462.086260299</v>
      </c>
      <c r="M93" s="32" t="n">
        <f aca="false">M92-M91</f>
        <v>878020.226180234</v>
      </c>
      <c r="N93" s="32" t="n">
        <f aca="false">N92-N91</f>
        <v>978992.552190961</v>
      </c>
      <c r="O93" s="32" t="n">
        <f aca="false">O92-O91</f>
        <v>1091576.69569292</v>
      </c>
      <c r="P93" s="32" t="n">
        <f aca="false">P92-P91</f>
        <v>0</v>
      </c>
      <c r="Q93" s="32" t="n">
        <f aca="false">Q92-Q91</f>
        <v>0</v>
      </c>
      <c r="R93" s="32" t="n">
        <f aca="false">R92-R91</f>
        <v>0</v>
      </c>
      <c r="S93" s="32" t="n">
        <f aca="false">S92-S91</f>
        <v>0</v>
      </c>
      <c r="T93" s="32" t="n">
        <f aca="false">T92-T91</f>
        <v>0</v>
      </c>
      <c r="U93" s="32" t="n">
        <f aca="false">U92-U91</f>
        <v>0</v>
      </c>
      <c r="V93" s="32" t="n">
        <f aca="false">V92-V91</f>
        <v>0</v>
      </c>
      <c r="W93" s="32" t="n">
        <f aca="false">W92-W91</f>
        <v>0</v>
      </c>
      <c r="X93" s="32" t="n">
        <f aca="false">X92-X91</f>
        <v>0</v>
      </c>
      <c r="Y93" s="32" t="n">
        <f aca="false">Y92-Y91</f>
        <v>0</v>
      </c>
      <c r="Z93" s="32" t="n">
        <f aca="false">Z92-Z91</f>
        <v>0</v>
      </c>
      <c r="AA93" s="32" t="n">
        <f aca="false">AA92-AA91</f>
        <v>0</v>
      </c>
      <c r="AB93" s="32" t="n">
        <f aca="false">AB92-AB91</f>
        <v>0</v>
      </c>
      <c r="AC93" s="32" t="n">
        <f aca="false">AC92-AC91</f>
        <v>0</v>
      </c>
      <c r="AD93" s="32" t="n">
        <f aca="false">AD92-AD91</f>
        <v>0</v>
      </c>
    </row>
    <row r="94" customFormat="false" ht="15" hidden="false" customHeight="false" outlineLevel="1" collapsed="false">
      <c r="B94" s="4" t="s">
        <v>276</v>
      </c>
      <c r="C94" s="24" t="s">
        <v>120</v>
      </c>
      <c r="E94" s="32" t="n">
        <f aca="false">$D$86</f>
        <v>7020000</v>
      </c>
      <c r="F94" s="32" t="n">
        <f aca="false">E94-F93</f>
        <v>6610191.98430239</v>
      </c>
      <c r="G94" s="32" t="n">
        <f aca="false">F94-G93</f>
        <v>6153256.04679956</v>
      </c>
      <c r="H94" s="32" t="n">
        <f aca="false">G94-H93</f>
        <v>5643772.4764839</v>
      </c>
      <c r="I94" s="32" t="n">
        <f aca="false">H94-I93</f>
        <v>5075698.29558194</v>
      </c>
      <c r="J94" s="32" t="n">
        <f aca="false">I94-J93</f>
        <v>4442295.58387626</v>
      </c>
      <c r="K94" s="32" t="n">
        <f aca="false">J94-K93</f>
        <v>3736051.56032442</v>
      </c>
      <c r="L94" s="32" t="n">
        <f aca="false">K94-L93</f>
        <v>2948589.47406412</v>
      </c>
      <c r="M94" s="32" t="n">
        <f aca="false">L94-M93</f>
        <v>2070569.24788389</v>
      </c>
      <c r="N94" s="32" t="n">
        <f aca="false">M94-N93</f>
        <v>1091576.69569293</v>
      </c>
      <c r="O94" s="32" t="n">
        <f aca="false">N94-O93</f>
        <v>3.95812094211578E-009</v>
      </c>
      <c r="P94" s="32" t="n">
        <f aca="false">O94-P93</f>
        <v>3.95812094211578E-009</v>
      </c>
      <c r="Q94" s="32" t="n">
        <f aca="false">P94-Q93</f>
        <v>3.95812094211578E-009</v>
      </c>
      <c r="R94" s="32" t="n">
        <f aca="false">Q94-R93</f>
        <v>3.95812094211578E-009</v>
      </c>
      <c r="S94" s="32" t="n">
        <f aca="false">R94-S93</f>
        <v>3.95812094211578E-009</v>
      </c>
      <c r="T94" s="32" t="n">
        <f aca="false">S94-T93</f>
        <v>3.95812094211578E-009</v>
      </c>
      <c r="U94" s="32" t="n">
        <f aca="false">T94-U93</f>
        <v>3.95812094211578E-009</v>
      </c>
      <c r="V94" s="32" t="n">
        <f aca="false">U94-V93</f>
        <v>3.95812094211578E-009</v>
      </c>
      <c r="W94" s="32" t="n">
        <f aca="false">V94-W93</f>
        <v>3.95812094211578E-009</v>
      </c>
      <c r="X94" s="32" t="n">
        <f aca="false">W94-X93</f>
        <v>3.95812094211578E-009</v>
      </c>
      <c r="Y94" s="32" t="n">
        <f aca="false">X94-Y93</f>
        <v>3.95812094211578E-009</v>
      </c>
      <c r="Z94" s="32" t="n">
        <f aca="false">Y94-Z93</f>
        <v>3.95812094211578E-009</v>
      </c>
      <c r="AA94" s="32" t="n">
        <f aca="false">Z94-AA93</f>
        <v>3.95812094211578E-009</v>
      </c>
      <c r="AB94" s="32" t="n">
        <f aca="false">AA94-AB93</f>
        <v>3.95812094211578E-009</v>
      </c>
      <c r="AC94" s="32" t="n">
        <f aca="false">AB94-AC93</f>
        <v>3.95812094211578E-009</v>
      </c>
      <c r="AD94" s="32" t="n">
        <f aca="false">AC94-AD93</f>
        <v>3.95812094211578E-009</v>
      </c>
    </row>
    <row r="95" customFormat="false" ht="15" hidden="false" customHeight="false" outlineLevel="1" collapsed="false">
      <c r="B95" s="4" t="s">
        <v>277</v>
      </c>
      <c r="C95" s="24" t="s">
        <v>120</v>
      </c>
      <c r="F95" s="32" t="n">
        <f aca="false">Calculations!F$20*$D$84</f>
        <v>10800000</v>
      </c>
      <c r="G95" s="32" t="n">
        <f aca="false">Calculations!G$20*$D$84</f>
        <v>0</v>
      </c>
      <c r="H95" s="32" t="n">
        <f aca="false">Calculations!H$20*$D$84</f>
        <v>0</v>
      </c>
      <c r="I95" s="32" t="n">
        <f aca="false">Calculations!I$20*$D$84</f>
        <v>0</v>
      </c>
      <c r="J95" s="32" t="n">
        <f aca="false">Calculations!J$20*$D$84</f>
        <v>0</v>
      </c>
      <c r="K95" s="32" t="n">
        <f aca="false">Calculations!K$20*$D$84</f>
        <v>0</v>
      </c>
      <c r="L95" s="32" t="n">
        <f aca="false">Calculations!L$20*$D$84</f>
        <v>0</v>
      </c>
      <c r="M95" s="32" t="n">
        <f aca="false">Calculations!M$20*$D$84</f>
        <v>0</v>
      </c>
      <c r="N95" s="32" t="n">
        <f aca="false">Calculations!N$20*$D$84</f>
        <v>0</v>
      </c>
      <c r="O95" s="32" t="n">
        <f aca="false">Calculations!O$20*$D$84</f>
        <v>0</v>
      </c>
      <c r="P95" s="32" t="n">
        <f aca="false">Calculations!P$20*$D$84</f>
        <v>0</v>
      </c>
      <c r="Q95" s="32" t="n">
        <f aca="false">Calculations!Q$20*$D$84</f>
        <v>0</v>
      </c>
      <c r="R95" s="32" t="n">
        <f aca="false">Calculations!R$20*$D$84</f>
        <v>0</v>
      </c>
      <c r="S95" s="32" t="n">
        <f aca="false">Calculations!S$20*$D$84</f>
        <v>0</v>
      </c>
      <c r="T95" s="32" t="n">
        <f aca="false">Calculations!T$20*$D$84</f>
        <v>0</v>
      </c>
      <c r="U95" s="32" t="n">
        <f aca="false">Calculations!U$20*$D$84</f>
        <v>0</v>
      </c>
      <c r="V95" s="32" t="n">
        <f aca="false">Calculations!V$20*$D$84</f>
        <v>0</v>
      </c>
      <c r="W95" s="32" t="n">
        <f aca="false">Calculations!W$20*$D$84</f>
        <v>0</v>
      </c>
      <c r="X95" s="32" t="n">
        <f aca="false">Calculations!X$20*$D$84</f>
        <v>0</v>
      </c>
      <c r="Y95" s="32" t="n">
        <f aca="false">Calculations!Y$20*$D$84</f>
        <v>0</v>
      </c>
      <c r="Z95" s="32" t="n">
        <f aca="false">Calculations!Z$20*$D$84</f>
        <v>0</v>
      </c>
      <c r="AA95" s="32" t="n">
        <f aca="false">Calculations!AA$20*$D$84</f>
        <v>0</v>
      </c>
      <c r="AB95" s="32" t="n">
        <f aca="false">Calculations!AB$20*$D$84</f>
        <v>0</v>
      </c>
      <c r="AC95" s="32" t="n">
        <f aca="false">Calculations!AC$20*$D$84</f>
        <v>0</v>
      </c>
      <c r="AD95" s="32" t="n">
        <f aca="false">Calculations!AD$20*$D$84</f>
        <v>0</v>
      </c>
    </row>
    <row r="96" customFormat="false" ht="15" hidden="false" customHeight="false" outlineLevel="1" collapsed="false">
      <c r="B96" s="4" t="s">
        <v>169</v>
      </c>
      <c r="C96" s="24" t="s">
        <v>120</v>
      </c>
      <c r="F96" s="32" t="n">
        <f aca="false">F90-F91-F95</f>
        <v>-9700050</v>
      </c>
      <c r="G96" s="32" t="n">
        <f aca="false">G90-G91-G95</f>
        <v>1241866.42805523</v>
      </c>
      <c r="H96" s="32" t="n">
        <f aca="false">H90-H91-H95</f>
        <v>1393913.45059133</v>
      </c>
      <c r="I96" s="32" t="n">
        <f aca="false">I90-I91-I95</f>
        <v>1556948.4593049</v>
      </c>
      <c r="J96" s="32" t="n">
        <f aca="false">J90-J91-J95</f>
        <v>1731912.15724528</v>
      </c>
      <c r="K96" s="32" t="n">
        <f aca="false">K90-K91-K95</f>
        <v>1919837.37979208</v>
      </c>
      <c r="L96" s="32" t="n">
        <f aca="false">L90-L91-L95</f>
        <v>2121858.8922828</v>
      </c>
      <c r="M96" s="32" t="n">
        <f aca="false">M90-M91-M95</f>
        <v>2339224.27472856</v>
      </c>
      <c r="N96" s="32" t="n">
        <f aca="false">N90-N91-N95</f>
        <v>2573306.01666299</v>
      </c>
      <c r="O96" s="32" t="n">
        <f aca="false">O90-O91-O95</f>
        <v>2825614.95922192</v>
      </c>
      <c r="P96" s="32" t="n">
        <f aca="false">P90-P91-P95</f>
        <v>3097815.23721446</v>
      </c>
      <c r="Q96" s="32" t="n">
        <f aca="false">Q90-Q91-Q95</f>
        <v>3251773.46960092</v>
      </c>
      <c r="R96" s="32" t="n">
        <f aca="false">R90-R91-R95</f>
        <v>3413383.2435786</v>
      </c>
      <c r="S96" s="32" t="n">
        <f aca="false">S90-S91-S95</f>
        <v>3583024.83047741</v>
      </c>
      <c r="T96" s="32" t="n">
        <f aca="false">T90-T91-T95</f>
        <v>3761097.40054035</v>
      </c>
      <c r="U96" s="32" t="n">
        <f aca="false">U90-U91-U95</f>
        <v>3948019.96216805</v>
      </c>
      <c r="V96" s="32" t="n">
        <f aca="false">V90-V91-V95</f>
        <v>4144232.34784198</v>
      </c>
      <c r="W96" s="32" t="n">
        <f aca="false">W90-W91-W95</f>
        <v>4350196.24904629</v>
      </c>
      <c r="X96" s="32" t="n">
        <f aca="false">X90-X91-X95</f>
        <v>4566396.30262339</v>
      </c>
      <c r="Y96" s="32" t="n">
        <f aca="false">Y90-Y91-Y95</f>
        <v>4793341.23111927</v>
      </c>
      <c r="Z96" s="32" t="n">
        <f aca="false">Z90-Z91-Z95</f>
        <v>0</v>
      </c>
      <c r="AA96" s="32" t="n">
        <f aca="false">AA90-AA91-AA95</f>
        <v>0</v>
      </c>
      <c r="AB96" s="32" t="n">
        <f aca="false">AB90-AB91-AB95</f>
        <v>0</v>
      </c>
      <c r="AC96" s="32" t="n">
        <f aca="false">AC90-AC91-AC95</f>
        <v>0</v>
      </c>
      <c r="AD96" s="32" t="n">
        <f aca="false">AD90-AD91-AD95</f>
        <v>0</v>
      </c>
    </row>
    <row r="97" customFormat="false" ht="15" hidden="false" customHeight="false" outlineLevel="1" collapsed="false">
      <c r="B97" s="4" t="s">
        <v>172</v>
      </c>
      <c r="C97" s="24" t="s">
        <v>120</v>
      </c>
      <c r="F97" s="32" t="n">
        <f aca="false">MAX(0,E97-F96)</f>
        <v>9700050</v>
      </c>
      <c r="G97" s="32" t="n">
        <f aca="false">MAX(0,F97-G96)</f>
        <v>8458183.57194478</v>
      </c>
      <c r="H97" s="32" t="n">
        <f aca="false">MAX(0,G97-H96)</f>
        <v>7064270.12135344</v>
      </c>
      <c r="I97" s="32" t="n">
        <f aca="false">MAX(0,H97-I96)</f>
        <v>5507321.66204854</v>
      </c>
      <c r="J97" s="32" t="n">
        <f aca="false">MAX(0,I97-J96)</f>
        <v>3775409.50480326</v>
      </c>
      <c r="K97" s="32" t="n">
        <f aca="false">MAX(0,J97-K96)</f>
        <v>1855572.12501118</v>
      </c>
      <c r="L97" s="32" t="n">
        <f aca="false">MAX(0,K97-L96)</f>
        <v>0</v>
      </c>
      <c r="M97" s="32" t="n">
        <f aca="false">MAX(0,L97-M96)</f>
        <v>0</v>
      </c>
      <c r="N97" s="32" t="n">
        <f aca="false">MAX(0,M97-N96)</f>
        <v>0</v>
      </c>
      <c r="O97" s="32" t="n">
        <f aca="false">MAX(0,N97-O96)</f>
        <v>0</v>
      </c>
      <c r="P97" s="32" t="n">
        <f aca="false">MAX(0,O97-P96)</f>
        <v>0</v>
      </c>
      <c r="Q97" s="32" t="n">
        <f aca="false">MAX(0,P97-Q96)</f>
        <v>0</v>
      </c>
      <c r="R97" s="32" t="n">
        <f aca="false">MAX(0,Q97-R96)</f>
        <v>0</v>
      </c>
      <c r="S97" s="32" t="n">
        <f aca="false">MAX(0,R97-S96)</f>
        <v>0</v>
      </c>
      <c r="T97" s="32" t="n">
        <f aca="false">MAX(0,S97-T96)</f>
        <v>0</v>
      </c>
      <c r="U97" s="32" t="n">
        <f aca="false">MAX(0,T97-U96)</f>
        <v>0</v>
      </c>
      <c r="V97" s="32" t="n">
        <f aca="false">MAX(0,U97-V96)</f>
        <v>0</v>
      </c>
      <c r="W97" s="32" t="n">
        <f aca="false">MAX(0,V97-W96)</f>
        <v>0</v>
      </c>
      <c r="X97" s="32" t="n">
        <f aca="false">MAX(0,W97-X96)</f>
        <v>0</v>
      </c>
      <c r="Y97" s="32" t="n">
        <f aca="false">MAX(0,X97-Y96)</f>
        <v>0</v>
      </c>
      <c r="Z97" s="32" t="n">
        <f aca="false">MAX(0,Y97-Z96)</f>
        <v>0</v>
      </c>
      <c r="AA97" s="32" t="n">
        <f aca="false">MAX(0,Z97-AA96)</f>
        <v>0</v>
      </c>
      <c r="AB97" s="32" t="n">
        <f aca="false">MAX(0,AA97-AB96)</f>
        <v>0</v>
      </c>
      <c r="AC97" s="32" t="n">
        <f aca="false">MAX(0,AB97-AC96)</f>
        <v>0</v>
      </c>
      <c r="AD97" s="32" t="n">
        <f aca="false">MAX(0,AC97-AD96)</f>
        <v>0</v>
      </c>
    </row>
    <row r="98" customFormat="false" ht="15" hidden="false" customHeight="false" outlineLevel="1" collapsed="false">
      <c r="B98" s="4" t="s">
        <v>173</v>
      </c>
      <c r="C98" s="24" t="s">
        <v>120</v>
      </c>
      <c r="F98" s="32" t="n">
        <f aca="false">Tax_Rate*MAX(0,F96-E97)</f>
        <v>0</v>
      </c>
      <c r="G98" s="32" t="n">
        <f aca="false">Tax_Rate*MAX(0,G96-F97)</f>
        <v>0</v>
      </c>
      <c r="H98" s="32" t="n">
        <f aca="false">Tax_Rate*MAX(0,H96-G97)</f>
        <v>0</v>
      </c>
      <c r="I98" s="32" t="n">
        <f aca="false">Tax_Rate*MAX(0,I96-H97)</f>
        <v>0</v>
      </c>
      <c r="J98" s="32" t="n">
        <f aca="false">Tax_Rate*MAX(0,J96-I97)</f>
        <v>0</v>
      </c>
      <c r="K98" s="32" t="n">
        <f aca="false">Tax_Rate*MAX(0,K96-J97)</f>
        <v>0</v>
      </c>
      <c r="L98" s="32" t="n">
        <f aca="false">Tax_Rate*MAX(0,L96-K97)</f>
        <v>71897.4271633373</v>
      </c>
      <c r="M98" s="32" t="n">
        <f aca="false">Tax_Rate*MAX(0,M96-L97)</f>
        <v>631590.554176711</v>
      </c>
      <c r="N98" s="32" t="n">
        <f aca="false">Tax_Rate*MAX(0,N96-M97)</f>
        <v>694792.624499008</v>
      </c>
      <c r="O98" s="32" t="n">
        <f aca="false">Tax_Rate*MAX(0,O96-N97)</f>
        <v>762916.038989919</v>
      </c>
      <c r="P98" s="32" t="n">
        <f aca="false">Tax_Rate*MAX(0,P96-O97)</f>
        <v>836410.114047905</v>
      </c>
      <c r="Q98" s="32" t="n">
        <f aca="false">Tax_Rate*MAX(0,Q96-P97)</f>
        <v>877978.83679225</v>
      </c>
      <c r="R98" s="32" t="n">
        <f aca="false">Tax_Rate*MAX(0,R96-Q97)</f>
        <v>921613.475766223</v>
      </c>
      <c r="S98" s="32" t="n">
        <f aca="false">Tax_Rate*MAX(0,S96-R97)</f>
        <v>967416.704228901</v>
      </c>
      <c r="T98" s="32" t="n">
        <f aca="false">Tax_Rate*MAX(0,T96-S97)</f>
        <v>1015496.2981459</v>
      </c>
      <c r="U98" s="32" t="n">
        <f aca="false">Tax_Rate*MAX(0,U96-T97)</f>
        <v>1065965.38978537</v>
      </c>
      <c r="V98" s="32" t="n">
        <f aca="false">Tax_Rate*MAX(0,V96-U97)</f>
        <v>1118942.73391733</v>
      </c>
      <c r="W98" s="32" t="n">
        <f aca="false">Tax_Rate*MAX(0,W96-V97)</f>
        <v>1174552.9872425</v>
      </c>
      <c r="X98" s="32" t="n">
        <f aca="false">Tax_Rate*MAX(0,X96-W97)</f>
        <v>1232927.00170832</v>
      </c>
      <c r="Y98" s="32" t="n">
        <f aca="false">Tax_Rate*MAX(0,Y96-X97)</f>
        <v>1294202.1324022</v>
      </c>
      <c r="Z98" s="32" t="n">
        <f aca="false">Tax_Rate*MAX(0,Z96-Y97)</f>
        <v>0</v>
      </c>
      <c r="AA98" s="32" t="n">
        <f aca="false">Tax_Rate*MAX(0,AA96-Z97)</f>
        <v>0</v>
      </c>
      <c r="AB98" s="32" t="n">
        <f aca="false">Tax_Rate*MAX(0,AB96-AA97)</f>
        <v>0</v>
      </c>
      <c r="AC98" s="32" t="n">
        <f aca="false">Tax_Rate*MAX(0,AC96-AB97)</f>
        <v>0</v>
      </c>
      <c r="AD98" s="32" t="n">
        <f aca="false">Tax_Rate*MAX(0,AD96-AC97)</f>
        <v>0</v>
      </c>
    </row>
    <row r="99" customFormat="false" ht="15" hidden="false" customHeight="false" outlineLevel="1" collapsed="false">
      <c r="B99" s="4" t="s">
        <v>176</v>
      </c>
      <c r="C99" s="24" t="s">
        <v>120</v>
      </c>
      <c r="F99" s="32" t="n">
        <f aca="false">F90-F98</f>
        <v>1907250</v>
      </c>
      <c r="G99" s="32" t="n">
        <f aca="false">G90-G98</f>
        <v>2002038.50625</v>
      </c>
      <c r="H99" s="32" t="n">
        <f aca="false">H90-H98</f>
        <v>2101537.89597328</v>
      </c>
      <c r="I99" s="32" t="n">
        <f aca="false">I90-I98</f>
        <v>2205982.29410055</v>
      </c>
      <c r="J99" s="32" t="n">
        <f aca="false">J90-J98</f>
        <v>2315617.4612372</v>
      </c>
      <c r="K99" s="32" t="n">
        <f aca="false">K90-K98</f>
        <v>2430701.37193785</v>
      </c>
      <c r="L99" s="32" t="n">
        <f aca="false">L90-L98</f>
        <v>2479607.39455678</v>
      </c>
      <c r="M99" s="32" t="n">
        <f aca="false">M90-M98</f>
        <v>2046721.51006922</v>
      </c>
      <c r="N99" s="32" t="n">
        <f aca="false">N90-N98</f>
        <v>2116628.85567063</v>
      </c>
      <c r="O99" s="32" t="n">
        <f aca="false">O90-O98</f>
        <v>2188230.24023669</v>
      </c>
      <c r="P99" s="32" t="n">
        <f aca="false">P90-P98</f>
        <v>2261405.12316656</v>
      </c>
      <c r="Q99" s="32" t="n">
        <f aca="false">Q90-Q98</f>
        <v>2373794.63280867</v>
      </c>
      <c r="R99" s="32" t="n">
        <f aca="false">R90-R98</f>
        <v>2491769.76781238</v>
      </c>
      <c r="S99" s="32" t="n">
        <f aca="false">S90-S98</f>
        <v>2615608.12624851</v>
      </c>
      <c r="T99" s="32" t="n">
        <f aca="false">T90-T98</f>
        <v>2745601.10239446</v>
      </c>
      <c r="U99" s="32" t="n">
        <f aca="false">U90-U98</f>
        <v>2882054.57238268</v>
      </c>
      <c r="V99" s="32" t="n">
        <f aca="false">V90-V98</f>
        <v>3025289.61392464</v>
      </c>
      <c r="W99" s="32" t="n">
        <f aca="false">W90-W98</f>
        <v>3175643.26180379</v>
      </c>
      <c r="X99" s="32" t="n">
        <f aca="false">X90-X98</f>
        <v>3333469.30091507</v>
      </c>
      <c r="Y99" s="32" t="n">
        <f aca="false">Y90-Y98</f>
        <v>3499139.09871707</v>
      </c>
      <c r="Z99" s="32" t="n">
        <f aca="false">Z90-Z98</f>
        <v>0</v>
      </c>
      <c r="AA99" s="32" t="n">
        <f aca="false">AA90-AA98</f>
        <v>0</v>
      </c>
      <c r="AB99" s="32" t="n">
        <f aca="false">AB90-AB98</f>
        <v>0</v>
      </c>
      <c r="AC99" s="32" t="n">
        <f aca="false">AC90-AC98</f>
        <v>0</v>
      </c>
      <c r="AD99" s="32" t="n">
        <f aca="false">AD90-AD98</f>
        <v>0</v>
      </c>
    </row>
    <row r="100" customFormat="false" ht="15" hidden="false" customHeight="false" outlineLevel="1" collapsed="false">
      <c r="B100" s="4" t="s">
        <v>278</v>
      </c>
      <c r="C100" s="24" t="s">
        <v>111</v>
      </c>
      <c r="F100" s="62" t="n">
        <f aca="false">IF(AND(Calculations!F$7=1,F92&gt;0),F99/F92,"")</f>
        <v>1.56703429391748</v>
      </c>
      <c r="G100" s="62" t="n">
        <f aca="false">IF(AND(Calculations!G$7=1,G92&gt;0),G99/G92,"")</f>
        <v>1.64491440400423</v>
      </c>
      <c r="H100" s="62" t="n">
        <f aca="false">IF(AND(Calculations!H$7=1,H92&gt;0),H99/H92,"")</f>
        <v>1.72666506905613</v>
      </c>
      <c r="I100" s="62" t="n">
        <f aca="false">IF(AND(Calculations!I$7=1,I92&gt;0),I99/I92,"")</f>
        <v>1.81247865074338</v>
      </c>
      <c r="J100" s="62" t="n">
        <f aca="false">IF(AND(Calculations!J$7=1,J92&gt;0),J99/J92,"")</f>
        <v>1.90255707083645</v>
      </c>
      <c r="K100" s="62" t="n">
        <f aca="false">IF(AND(Calculations!K$7=1,K92&gt;0),K99/K92,"")</f>
        <v>1.99711228632789</v>
      </c>
      <c r="L100" s="62" t="n">
        <f aca="false">IF(AND(Calculations!L$7=1,L92&gt;0),L99/L92,"")</f>
        <v>2.03729444106532</v>
      </c>
      <c r="M100" s="62" t="n">
        <f aca="false">IF(AND(Calculations!M$7=1,M92&gt;0),M99/M92,"")</f>
        <v>1.68162684303423</v>
      </c>
      <c r="N100" s="62" t="n">
        <f aca="false">IF(AND(Calculations!N$7=1,N92&gt;0),N99/N92,"")</f>
        <v>1.73906409979352</v>
      </c>
      <c r="O100" s="62" t="n">
        <f aca="false">IF(AND(Calculations!O$7=1,O92&gt;0),O99/O92,"")</f>
        <v>1.79789321244628</v>
      </c>
      <c r="P100" s="62" t="str">
        <f aca="false">IF(AND(Calculations!P$7=1,P92&gt;0),P99/P92,"")</f>
        <v/>
      </c>
      <c r="Q100" s="62" t="str">
        <f aca="false">IF(AND(Calculations!Q$7=1,Q92&gt;0),Q99/Q92,"")</f>
        <v/>
      </c>
      <c r="R100" s="62" t="str">
        <f aca="false">IF(AND(Calculations!R$7=1,R92&gt;0),R99/R92,"")</f>
        <v/>
      </c>
      <c r="S100" s="62" t="str">
        <f aca="false">IF(AND(Calculations!S$7=1,S92&gt;0),S99/S92,"")</f>
        <v/>
      </c>
      <c r="T100" s="62" t="str">
        <f aca="false">IF(AND(Calculations!T$7=1,T92&gt;0),T99/T92,"")</f>
        <v/>
      </c>
      <c r="U100" s="62" t="str">
        <f aca="false">IF(AND(Calculations!U$7=1,U92&gt;0),U99/U92,"")</f>
        <v/>
      </c>
      <c r="V100" s="62" t="str">
        <f aca="false">IF(AND(Calculations!V$7=1,V92&gt;0),V99/V92,"")</f>
        <v/>
      </c>
      <c r="W100" s="62" t="str">
        <f aca="false">IF(AND(Calculations!W$7=1,W92&gt;0),W99/W92,"")</f>
        <v/>
      </c>
      <c r="X100" s="62" t="str">
        <f aca="false">IF(AND(Calculations!X$7=1,X92&gt;0),X99/X92,"")</f>
        <v/>
      </c>
      <c r="Y100" s="62" t="str">
        <f aca="false">IF(AND(Calculations!Y$7=1,Y92&gt;0),Y99/Y92,"")</f>
        <v/>
      </c>
      <c r="Z100" s="62" t="str">
        <f aca="false">IF(AND(Calculations!Z$7=1,Z92&gt;0),Z99/Z92,"")</f>
        <v/>
      </c>
      <c r="AA100" s="62" t="str">
        <f aca="false">IF(AND(Calculations!AA$7=1,AA92&gt;0),AA99/AA92,"")</f>
        <v/>
      </c>
      <c r="AB100" s="62" t="str">
        <f aca="false">IF(AND(Calculations!AB$7=1,AB92&gt;0),AB99/AB92,"")</f>
        <v/>
      </c>
      <c r="AC100" s="62" t="str">
        <f aca="false">IF(AND(Calculations!AC$7=1,AC92&gt;0),AC99/AC92,"")</f>
        <v/>
      </c>
      <c r="AD100" s="62" t="str">
        <f aca="false">IF(AND(Calculations!AD$7=1,AD92&gt;0),AD99/AD92,"")</f>
        <v/>
      </c>
    </row>
    <row r="101" customFormat="false" ht="15" hidden="false" customHeight="false" outlineLevel="1" collapsed="false">
      <c r="B101" s="4" t="s">
        <v>182</v>
      </c>
      <c r="C101" s="24" t="s">
        <v>120</v>
      </c>
      <c r="E101" s="32" t="n">
        <f aca="false">-($D$85-$D$86)</f>
        <v>-3780000</v>
      </c>
      <c r="F101" s="32" t="n">
        <f aca="false">F99-F92</f>
        <v>690141.984302392</v>
      </c>
      <c r="G101" s="32" t="n">
        <f aca="false">G99-G92</f>
        <v>784930.490552392</v>
      </c>
      <c r="H101" s="32" t="n">
        <f aca="false">H99-H92</f>
        <v>884429.880275673</v>
      </c>
      <c r="I101" s="32" t="n">
        <f aca="false">I99-I92</f>
        <v>988874.278402944</v>
      </c>
      <c r="J101" s="32" t="n">
        <f aca="false">J99-J92</f>
        <v>1098509.44553959</v>
      </c>
      <c r="K101" s="32" t="n">
        <f aca="false">K99-K92</f>
        <v>1213593.35624024</v>
      </c>
      <c r="L101" s="32" t="n">
        <f aca="false">L99-L92</f>
        <v>1262499.37885917</v>
      </c>
      <c r="M101" s="32" t="n">
        <f aca="false">M99-M92</f>
        <v>829613.494371614</v>
      </c>
      <c r="N101" s="32" t="n">
        <f aca="false">N99-N92</f>
        <v>899520.839973025</v>
      </c>
      <c r="O101" s="32" t="n">
        <f aca="false">O99-O92</f>
        <v>971122.224539081</v>
      </c>
      <c r="P101" s="32" t="n">
        <f aca="false">P99-P92</f>
        <v>2261405.12316656</v>
      </c>
      <c r="Q101" s="32" t="n">
        <f aca="false">Q99-Q92</f>
        <v>2373794.63280867</v>
      </c>
      <c r="R101" s="32" t="n">
        <f aca="false">R99-R92</f>
        <v>2491769.76781238</v>
      </c>
      <c r="S101" s="32" t="n">
        <f aca="false">S99-S92</f>
        <v>2615608.12624851</v>
      </c>
      <c r="T101" s="32" t="n">
        <f aca="false">T99-T92</f>
        <v>2745601.10239446</v>
      </c>
      <c r="U101" s="32" t="n">
        <f aca="false">U99-U92</f>
        <v>2882054.57238268</v>
      </c>
      <c r="V101" s="32" t="n">
        <f aca="false">V99-V92</f>
        <v>3025289.61392464</v>
      </c>
      <c r="W101" s="32" t="n">
        <f aca="false">W99-W92</f>
        <v>3175643.26180379</v>
      </c>
      <c r="X101" s="32" t="n">
        <f aca="false">X99-X92</f>
        <v>3333469.30091507</v>
      </c>
      <c r="Y101" s="32" t="n">
        <f aca="false">Y99-Y92</f>
        <v>3499139.09871707</v>
      </c>
      <c r="Z101" s="32" t="n">
        <f aca="false">Z99-Z92</f>
        <v>0</v>
      </c>
      <c r="AA101" s="32" t="n">
        <f aca="false">AA99-AA92</f>
        <v>0</v>
      </c>
      <c r="AB101" s="32" t="n">
        <f aca="false">AB99-AB92</f>
        <v>0</v>
      </c>
      <c r="AC101" s="32" t="n">
        <f aca="false">AC99-AC92</f>
        <v>0</v>
      </c>
      <c r="AD101" s="32" t="n">
        <f aca="false">AD99-AD92</f>
        <v>0</v>
      </c>
    </row>
    <row r="102" customFormat="false" ht="15" hidden="false" customHeight="false" outlineLevel="1" collapsed="false">
      <c r="B102" s="3" t="s">
        <v>208</v>
      </c>
      <c r="C102" s="24" t="s">
        <v>97</v>
      </c>
      <c r="D102" s="76" t="n">
        <f aca="false">IRR(E101:AD101)</f>
        <v>0.272041682227707</v>
      </c>
    </row>
    <row r="103" customFormat="false" ht="15" hidden="false" customHeight="false" outlineLevel="1" collapsed="false">
      <c r="B103" s="3" t="s">
        <v>210</v>
      </c>
      <c r="C103" s="24" t="s">
        <v>111</v>
      </c>
      <c r="D103" s="49" t="n">
        <f aca="false">MIN(F100:AD100)</f>
        <v>1.56703429391748</v>
      </c>
    </row>
    <row r="104" customFormat="false" ht="15" hidden="false" customHeight="false" outlineLevel="1" collapsed="false">
      <c r="B104" s="3" t="s">
        <v>262</v>
      </c>
      <c r="C104" s="24" t="s">
        <v>120</v>
      </c>
      <c r="D104" s="44" t="n">
        <f aca="false">E101+NPV(Equity_Discount_Rate,F101:AD101)</f>
        <v>3624951.01219026</v>
      </c>
    </row>
    <row r="106" customFormat="false" ht="15" hidden="false" customHeight="false" outlineLevel="0" collapsed="false">
      <c r="B106" s="21" t="s">
        <v>281</v>
      </c>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row>
    <row r="107" customFormat="false" ht="15" hidden="false" customHeight="false" outlineLevel="1" collapsed="false">
      <c r="B107" s="4" t="s">
        <v>258</v>
      </c>
      <c r="C107" s="24" t="s">
        <v>111</v>
      </c>
      <c r="D107" s="62" t="n">
        <f aca="false">1-Sens_Tariff_Flex</f>
        <v>0.9</v>
      </c>
    </row>
    <row r="108" customFormat="false" ht="15" hidden="false" customHeight="false" outlineLevel="1" collapsed="false">
      <c r="B108" s="4" t="s">
        <v>259</v>
      </c>
      <c r="C108" s="24" t="s">
        <v>111</v>
      </c>
      <c r="D108" s="62" t="n">
        <f aca="false">1</f>
        <v>1</v>
      </c>
    </row>
    <row r="109" customFormat="false" ht="15" hidden="false" customHeight="false" outlineLevel="1" collapsed="false">
      <c r="B109" s="4" t="s">
        <v>271</v>
      </c>
      <c r="C109" s="24" t="s">
        <v>120</v>
      </c>
      <c r="D109" s="32" t="n">
        <f aca="false">Capex_Total*D108</f>
        <v>12000000</v>
      </c>
    </row>
    <row r="110" customFormat="false" ht="15" hidden="false" customHeight="false" outlineLevel="1" collapsed="false">
      <c r="B110" s="4" t="s">
        <v>272</v>
      </c>
      <c r="C110" s="24" t="s">
        <v>120</v>
      </c>
      <c r="D110" s="32" t="n">
        <f aca="false">D109*Gearing</f>
        <v>7800000</v>
      </c>
    </row>
    <row r="111" customFormat="false" ht="15" hidden="false" customHeight="false" outlineLevel="1" collapsed="false">
      <c r="B111" s="4" t="s">
        <v>273</v>
      </c>
      <c r="C111" s="24" t="s">
        <v>120</v>
      </c>
      <c r="D111" s="32" t="n">
        <f aca="false">-PMT(Interest_Rate,Debt_Tenor,D110)</f>
        <v>1352342.23966401</v>
      </c>
    </row>
    <row r="112" customFormat="false" ht="15" hidden="false" customHeight="false" outlineLevel="1" collapsed="false">
      <c r="B112" s="4" t="s">
        <v>144</v>
      </c>
      <c r="C112" s="24"/>
      <c r="E112" s="75" t="n">
        <f aca="false">Calculations!E$5</f>
        <v>0</v>
      </c>
      <c r="F112" s="75" t="n">
        <f aca="false">Calculations!F$5</f>
        <v>1</v>
      </c>
      <c r="G112" s="75" t="n">
        <f aca="false">Calculations!G$5</f>
        <v>2</v>
      </c>
      <c r="H112" s="75" t="n">
        <f aca="false">Calculations!H$5</f>
        <v>3</v>
      </c>
      <c r="I112" s="75" t="n">
        <f aca="false">Calculations!I$5</f>
        <v>4</v>
      </c>
      <c r="J112" s="75" t="n">
        <f aca="false">Calculations!J$5</f>
        <v>5</v>
      </c>
      <c r="K112" s="75" t="n">
        <f aca="false">Calculations!K$5</f>
        <v>6</v>
      </c>
      <c r="L112" s="75" t="n">
        <f aca="false">Calculations!L$5</f>
        <v>7</v>
      </c>
      <c r="M112" s="75" t="n">
        <f aca="false">Calculations!M$5</f>
        <v>8</v>
      </c>
      <c r="N112" s="75" t="n">
        <f aca="false">Calculations!N$5</f>
        <v>9</v>
      </c>
      <c r="O112" s="75" t="n">
        <f aca="false">Calculations!O$5</f>
        <v>10</v>
      </c>
      <c r="P112" s="75" t="n">
        <f aca="false">Calculations!P$5</f>
        <v>11</v>
      </c>
      <c r="Q112" s="75" t="n">
        <f aca="false">Calculations!Q$5</f>
        <v>12</v>
      </c>
      <c r="R112" s="75" t="n">
        <f aca="false">Calculations!R$5</f>
        <v>13</v>
      </c>
      <c r="S112" s="75" t="n">
        <f aca="false">Calculations!S$5</f>
        <v>14</v>
      </c>
      <c r="T112" s="75" t="n">
        <f aca="false">Calculations!T$5</f>
        <v>15</v>
      </c>
      <c r="U112" s="75" t="n">
        <f aca="false">Calculations!U$5</f>
        <v>16</v>
      </c>
      <c r="V112" s="75" t="n">
        <f aca="false">Calculations!V$5</f>
        <v>17</v>
      </c>
      <c r="W112" s="75" t="n">
        <f aca="false">Calculations!W$5</f>
        <v>18</v>
      </c>
      <c r="X112" s="75" t="n">
        <f aca="false">Calculations!X$5</f>
        <v>19</v>
      </c>
      <c r="Y112" s="75" t="n">
        <f aca="false">Calculations!Y$5</f>
        <v>20</v>
      </c>
      <c r="Z112" s="75" t="n">
        <f aca="false">Calculations!Z$5</f>
        <v>21</v>
      </c>
      <c r="AA112" s="75" t="n">
        <f aca="false">Calculations!AA$5</f>
        <v>22</v>
      </c>
      <c r="AB112" s="75" t="n">
        <f aca="false">Calculations!AB$5</f>
        <v>23</v>
      </c>
      <c r="AC112" s="75" t="n">
        <f aca="false">Calculations!AC$5</f>
        <v>24</v>
      </c>
      <c r="AD112" s="75" t="n">
        <f aca="false">Calculations!AD$5</f>
        <v>25</v>
      </c>
    </row>
    <row r="113" customFormat="false" ht="15" hidden="false" customHeight="false" outlineLevel="1" collapsed="false">
      <c r="B113" s="4" t="s">
        <v>152</v>
      </c>
      <c r="C113" s="24" t="s">
        <v>120</v>
      </c>
      <c r="F113" s="32" t="n">
        <f aca="false">Calculations!F$12*$D$107</f>
        <v>1707750</v>
      </c>
      <c r="G113" s="32" t="n">
        <f aca="false">Calculations!G$12*$D$107</f>
        <v>1792667.86875</v>
      </c>
      <c r="H113" s="32" t="n">
        <f aca="false">Calculations!H$12*$D$107</f>
        <v>1881808.27852359</v>
      </c>
      <c r="I113" s="32" t="n">
        <f aca="false">Calculations!I$12*$D$107</f>
        <v>1975381.19517318</v>
      </c>
      <c r="J113" s="32" t="n">
        <f aca="false">Calculations!J$12*$D$107</f>
        <v>2073607.02510317</v>
      </c>
      <c r="K113" s="32" t="n">
        <f aca="false">Calculations!K$12*$D$107</f>
        <v>2176717.13442642</v>
      </c>
      <c r="L113" s="32" t="n">
        <f aca="false">Calculations!L$12*$D$107</f>
        <v>2284954.39393577</v>
      </c>
      <c r="M113" s="32" t="n">
        <f aca="false">Calculations!M$12*$D$107</f>
        <v>2398573.75117423</v>
      </c>
      <c r="N113" s="32" t="n">
        <f aca="false">Calculations!N$12*$D$107</f>
        <v>2517842.83095137</v>
      </c>
      <c r="O113" s="32" t="n">
        <f aca="false">Calculations!O$12*$D$107</f>
        <v>2643042.56572042</v>
      </c>
      <c r="P113" s="32" t="n">
        <f aca="false">Calculations!P$12*$D$107</f>
        <v>2774467.85730087</v>
      </c>
      <c r="Q113" s="32" t="n">
        <f aca="false">Calculations!Q$12*$D$107</f>
        <v>2912428.27150516</v>
      </c>
      <c r="R113" s="32" t="n">
        <f aca="false">Calculations!R$12*$D$107</f>
        <v>3057248.76730575</v>
      </c>
      <c r="S113" s="32" t="n">
        <f aca="false">Calculations!S$12*$D$107</f>
        <v>3209270.46226003</v>
      </c>
      <c r="T113" s="32" t="n">
        <f aca="false">Calculations!T$12*$D$107</f>
        <v>3368851.43599591</v>
      </c>
      <c r="U113" s="32" t="n">
        <f aca="false">Calculations!U$12*$D$107</f>
        <v>3536367.57365081</v>
      </c>
      <c r="V113" s="32" t="n">
        <f aca="false">Calculations!V$12*$D$107</f>
        <v>3712213.45125059</v>
      </c>
      <c r="W113" s="32" t="n">
        <f aca="false">Calculations!W$12*$D$107</f>
        <v>3896803.26511403</v>
      </c>
      <c r="X113" s="32" t="n">
        <f aca="false">Calculations!X$12*$D$107</f>
        <v>4090571.80747182</v>
      </c>
      <c r="Y113" s="32" t="n">
        <f aca="false">Calculations!Y$12*$D$107</f>
        <v>4293975.49059836</v>
      </c>
      <c r="Z113" s="32" t="n">
        <f aca="false">Calculations!Z$12*$D$107</f>
        <v>0</v>
      </c>
      <c r="AA113" s="32" t="n">
        <f aca="false">Calculations!AA$12*$D$107</f>
        <v>0</v>
      </c>
      <c r="AB113" s="32" t="n">
        <f aca="false">Calculations!AB$12*$D$107</f>
        <v>0</v>
      </c>
      <c r="AC113" s="32" t="n">
        <f aca="false">Calculations!AC$12*$D$107</f>
        <v>0</v>
      </c>
      <c r="AD113" s="32" t="n">
        <f aca="false">Calculations!AD$12*$D$107</f>
        <v>0</v>
      </c>
    </row>
    <row r="114" customFormat="false" ht="15" hidden="false" customHeight="false" outlineLevel="1" collapsed="false">
      <c r="B114" s="4" t="s">
        <v>155</v>
      </c>
      <c r="C114" s="24" t="s">
        <v>120</v>
      </c>
      <c r="F114" s="32" t="n">
        <f aca="false">F113-Calculations!F$15</f>
        <v>1527750</v>
      </c>
      <c r="G114" s="32" t="n">
        <f aca="false">G113-Calculations!G$15</f>
        <v>1603667.86875</v>
      </c>
      <c r="H114" s="32" t="n">
        <f aca="false">H113-Calculations!H$15</f>
        <v>1683358.27852359</v>
      </c>
      <c r="I114" s="32" t="n">
        <f aca="false">I113-Calculations!I$15</f>
        <v>1767008.69517318</v>
      </c>
      <c r="J114" s="32" t="n">
        <f aca="false">J113-Calculations!J$15</f>
        <v>1854815.90010317</v>
      </c>
      <c r="K114" s="32" t="n">
        <f aca="false">K113-Calculations!K$15</f>
        <v>1946986.45317642</v>
      </c>
      <c r="L114" s="32" t="n">
        <f aca="false">L113-Calculations!L$15</f>
        <v>2043737.17862327</v>
      </c>
      <c r="M114" s="32" t="n">
        <f aca="false">M113-Calculations!M$15</f>
        <v>2145295.6750961</v>
      </c>
      <c r="N114" s="32" t="n">
        <f aca="false">N113-Calculations!N$15</f>
        <v>2251900.85106934</v>
      </c>
      <c r="O114" s="32" t="n">
        <f aca="false">O113-Calculations!O$15</f>
        <v>2363803.48684429</v>
      </c>
      <c r="P114" s="32" t="n">
        <f aca="false">P113-Calculations!P$15</f>
        <v>2481266.82448093</v>
      </c>
      <c r="Q114" s="32" t="n">
        <f aca="false">Q113-Calculations!Q$15</f>
        <v>2604567.18704422</v>
      </c>
      <c r="R114" s="32" t="n">
        <f aca="false">R113-Calculations!R$15</f>
        <v>2733994.62862177</v>
      </c>
      <c r="S114" s="32" t="n">
        <f aca="false">S113-Calculations!S$15</f>
        <v>2869853.61664185</v>
      </c>
      <c r="T114" s="32" t="n">
        <f aca="false">T113-Calculations!T$15</f>
        <v>3012463.74809682</v>
      </c>
      <c r="U114" s="32" t="n">
        <f aca="false">U113-Calculations!U$15</f>
        <v>3162160.50135676</v>
      </c>
      <c r="V114" s="32" t="n">
        <f aca="false">V113-Calculations!V$15</f>
        <v>3319296.02534184</v>
      </c>
      <c r="W114" s="32" t="n">
        <f aca="false">W113-Calculations!W$15</f>
        <v>3484239.96790984</v>
      </c>
      <c r="X114" s="32" t="n">
        <f aca="false">X113-Calculations!X$15</f>
        <v>3657380.34540743</v>
      </c>
      <c r="Y114" s="32" t="n">
        <f aca="false">Y113-Calculations!Y$15</f>
        <v>3839124.45543074</v>
      </c>
      <c r="Z114" s="32" t="n">
        <f aca="false">Z113-Calculations!Z$15</f>
        <v>0</v>
      </c>
      <c r="AA114" s="32" t="n">
        <f aca="false">AA113-Calculations!AA$15</f>
        <v>0</v>
      </c>
      <c r="AB114" s="32" t="n">
        <f aca="false">AB113-Calculations!AB$15</f>
        <v>0</v>
      </c>
      <c r="AC114" s="32" t="n">
        <f aca="false">AC113-Calculations!AC$15</f>
        <v>0</v>
      </c>
      <c r="AD114" s="32" t="n">
        <f aca="false">AD113-Calculations!AD$15</f>
        <v>0</v>
      </c>
    </row>
    <row r="115" customFormat="false" ht="15" hidden="false" customHeight="false" outlineLevel="1" collapsed="false">
      <c r="B115" s="4" t="s">
        <v>274</v>
      </c>
      <c r="C115" s="24" t="s">
        <v>120</v>
      </c>
      <c r="F115" s="32" t="n">
        <f aca="false">E118*Interest_Rate*Calculations!F$7</f>
        <v>897000</v>
      </c>
      <c r="G115" s="32" t="n">
        <f aca="false">F118*Interest_Rate*Calculations!G$7</f>
        <v>844635.642438639</v>
      </c>
      <c r="H115" s="32" t="n">
        <f aca="false">G118*Interest_Rate*Calculations!H$7</f>
        <v>786249.383757722</v>
      </c>
      <c r="I115" s="32" t="n">
        <f aca="false">H118*Interest_Rate*Calculations!I$7</f>
        <v>721148.705328499</v>
      </c>
      <c r="J115" s="32" t="n">
        <f aca="false">I118*Interest_Rate*Calculations!J$7</f>
        <v>648561.448879915</v>
      </c>
      <c r="K115" s="32" t="n">
        <f aca="false">J118*Interest_Rate*Calculations!K$7</f>
        <v>567626.657939744</v>
      </c>
      <c r="L115" s="32" t="n">
        <f aca="false">K118*Interest_Rate*Calculations!L$7</f>
        <v>477384.366041453</v>
      </c>
      <c r="M115" s="32" t="n">
        <f aca="false">L118*Interest_Rate*Calculations!M$7</f>
        <v>376764.210574859</v>
      </c>
      <c r="N115" s="32" t="n">
        <f aca="false">M118*Interest_Rate*Calculations!N$7</f>
        <v>264572.737229607</v>
      </c>
      <c r="O115" s="32" t="n">
        <f aca="false">N118*Interest_Rate*Calculations!O$7</f>
        <v>139479.244449651</v>
      </c>
      <c r="P115" s="32" t="n">
        <f aca="false">O118*Interest_Rate*Calculations!P$7</f>
        <v>0</v>
      </c>
      <c r="Q115" s="32" t="n">
        <f aca="false">P118*Interest_Rate*Calculations!Q$7</f>
        <v>0</v>
      </c>
      <c r="R115" s="32" t="n">
        <f aca="false">Q118*Interest_Rate*Calculations!R$7</f>
        <v>0</v>
      </c>
      <c r="S115" s="32" t="n">
        <f aca="false">R118*Interest_Rate*Calculations!S$7</f>
        <v>0</v>
      </c>
      <c r="T115" s="32" t="n">
        <f aca="false">S118*Interest_Rate*Calculations!T$7</f>
        <v>0</v>
      </c>
      <c r="U115" s="32" t="n">
        <f aca="false">T118*Interest_Rate*Calculations!U$7</f>
        <v>0</v>
      </c>
      <c r="V115" s="32" t="n">
        <f aca="false">U118*Interest_Rate*Calculations!V$7</f>
        <v>0</v>
      </c>
      <c r="W115" s="32" t="n">
        <f aca="false">V118*Interest_Rate*Calculations!W$7</f>
        <v>0</v>
      </c>
      <c r="X115" s="32" t="n">
        <f aca="false">W118*Interest_Rate*Calculations!X$7</f>
        <v>0</v>
      </c>
      <c r="Y115" s="32" t="n">
        <f aca="false">X118*Interest_Rate*Calculations!Y$7</f>
        <v>0</v>
      </c>
      <c r="Z115" s="32" t="n">
        <f aca="false">Y118*Interest_Rate*Calculations!Z$7</f>
        <v>0</v>
      </c>
      <c r="AA115" s="32" t="n">
        <f aca="false">Z118*Interest_Rate*Calculations!AA$7</f>
        <v>0</v>
      </c>
      <c r="AB115" s="32" t="n">
        <f aca="false">AA118*Interest_Rate*Calculations!AB$7</f>
        <v>0</v>
      </c>
      <c r="AC115" s="32" t="n">
        <f aca="false">AB118*Interest_Rate*Calculations!AC$7</f>
        <v>0</v>
      </c>
      <c r="AD115" s="32" t="n">
        <f aca="false">AC118*Interest_Rate*Calculations!AD$7</f>
        <v>0</v>
      </c>
    </row>
    <row r="116" customFormat="false" ht="15" hidden="false" customHeight="false" outlineLevel="1" collapsed="false">
      <c r="B116" s="4" t="s">
        <v>177</v>
      </c>
      <c r="C116" s="24" t="s">
        <v>120</v>
      </c>
      <c r="F116" s="32" t="n">
        <f aca="false">$D$111*Calculations!F$7</f>
        <v>1352342.23966401</v>
      </c>
      <c r="G116" s="32" t="n">
        <f aca="false">$D$111*Calculations!G$7</f>
        <v>1352342.23966401</v>
      </c>
      <c r="H116" s="32" t="n">
        <f aca="false">$D$111*Calculations!H$7</f>
        <v>1352342.23966401</v>
      </c>
      <c r="I116" s="32" t="n">
        <f aca="false">$D$111*Calculations!I$7</f>
        <v>1352342.23966401</v>
      </c>
      <c r="J116" s="32" t="n">
        <f aca="false">$D$111*Calculations!J$7</f>
        <v>1352342.23966401</v>
      </c>
      <c r="K116" s="32" t="n">
        <f aca="false">$D$111*Calculations!K$7</f>
        <v>1352342.23966401</v>
      </c>
      <c r="L116" s="32" t="n">
        <f aca="false">$D$111*Calculations!L$7</f>
        <v>1352342.23966401</v>
      </c>
      <c r="M116" s="32" t="n">
        <f aca="false">$D$111*Calculations!M$7</f>
        <v>1352342.23966401</v>
      </c>
      <c r="N116" s="32" t="n">
        <f aca="false">$D$111*Calculations!N$7</f>
        <v>1352342.23966401</v>
      </c>
      <c r="O116" s="32" t="n">
        <f aca="false">$D$111*Calculations!O$7</f>
        <v>1352342.23966401</v>
      </c>
      <c r="P116" s="32" t="n">
        <f aca="false">$D$111*Calculations!P$7</f>
        <v>0</v>
      </c>
      <c r="Q116" s="32" t="n">
        <f aca="false">$D$111*Calculations!Q$7</f>
        <v>0</v>
      </c>
      <c r="R116" s="32" t="n">
        <f aca="false">$D$111*Calculations!R$7</f>
        <v>0</v>
      </c>
      <c r="S116" s="32" t="n">
        <f aca="false">$D$111*Calculations!S$7</f>
        <v>0</v>
      </c>
      <c r="T116" s="32" t="n">
        <f aca="false">$D$111*Calculations!T$7</f>
        <v>0</v>
      </c>
      <c r="U116" s="32" t="n">
        <f aca="false">$D$111*Calculations!U$7</f>
        <v>0</v>
      </c>
      <c r="V116" s="32" t="n">
        <f aca="false">$D$111*Calculations!V$7</f>
        <v>0</v>
      </c>
      <c r="W116" s="32" t="n">
        <f aca="false">$D$111*Calculations!W$7</f>
        <v>0</v>
      </c>
      <c r="X116" s="32" t="n">
        <f aca="false">$D$111*Calculations!X$7</f>
        <v>0</v>
      </c>
      <c r="Y116" s="32" t="n">
        <f aca="false">$D$111*Calculations!Y$7</f>
        <v>0</v>
      </c>
      <c r="Z116" s="32" t="n">
        <f aca="false">$D$111*Calculations!Z$7</f>
        <v>0</v>
      </c>
      <c r="AA116" s="32" t="n">
        <f aca="false">$D$111*Calculations!AA$7</f>
        <v>0</v>
      </c>
      <c r="AB116" s="32" t="n">
        <f aca="false">$D$111*Calculations!AB$7</f>
        <v>0</v>
      </c>
      <c r="AC116" s="32" t="n">
        <f aca="false">$D$111*Calculations!AC$7</f>
        <v>0</v>
      </c>
      <c r="AD116" s="32" t="n">
        <f aca="false">$D$111*Calculations!AD$7</f>
        <v>0</v>
      </c>
    </row>
    <row r="117" customFormat="false" ht="15" hidden="false" customHeight="false" outlineLevel="1" collapsed="false">
      <c r="B117" s="4" t="s">
        <v>275</v>
      </c>
      <c r="C117" s="24" t="s">
        <v>120</v>
      </c>
      <c r="F117" s="32" t="n">
        <f aca="false">F116-F115</f>
        <v>455342.239664009</v>
      </c>
      <c r="G117" s="32" t="n">
        <f aca="false">G116-G115</f>
        <v>507706.59722537</v>
      </c>
      <c r="H117" s="32" t="n">
        <f aca="false">H116-H115</f>
        <v>566092.855906288</v>
      </c>
      <c r="I117" s="32" t="n">
        <f aca="false">I116-I115</f>
        <v>631193.534335511</v>
      </c>
      <c r="J117" s="32" t="n">
        <f aca="false">J116-J115</f>
        <v>703780.790784094</v>
      </c>
      <c r="K117" s="32" t="n">
        <f aca="false">K116-K115</f>
        <v>784715.581724265</v>
      </c>
      <c r="L117" s="32" t="n">
        <f aca="false">L116-L115</f>
        <v>874957.873622556</v>
      </c>
      <c r="M117" s="32" t="n">
        <f aca="false">M116-M115</f>
        <v>975578.02908915</v>
      </c>
      <c r="N117" s="32" t="n">
        <f aca="false">N116-N115</f>
        <v>1087769.5024344</v>
      </c>
      <c r="O117" s="32" t="n">
        <f aca="false">O116-O115</f>
        <v>1212862.99521436</v>
      </c>
      <c r="P117" s="32" t="n">
        <f aca="false">P116-P115</f>
        <v>0</v>
      </c>
      <c r="Q117" s="32" t="n">
        <f aca="false">Q116-Q115</f>
        <v>0</v>
      </c>
      <c r="R117" s="32" t="n">
        <f aca="false">R116-R115</f>
        <v>0</v>
      </c>
      <c r="S117" s="32" t="n">
        <f aca="false">S116-S115</f>
        <v>0</v>
      </c>
      <c r="T117" s="32" t="n">
        <f aca="false">T116-T115</f>
        <v>0</v>
      </c>
      <c r="U117" s="32" t="n">
        <f aca="false">U116-U115</f>
        <v>0</v>
      </c>
      <c r="V117" s="32" t="n">
        <f aca="false">V116-V115</f>
        <v>0</v>
      </c>
      <c r="W117" s="32" t="n">
        <f aca="false">W116-W115</f>
        <v>0</v>
      </c>
      <c r="X117" s="32" t="n">
        <f aca="false">X116-X115</f>
        <v>0</v>
      </c>
      <c r="Y117" s="32" t="n">
        <f aca="false">Y116-Y115</f>
        <v>0</v>
      </c>
      <c r="Z117" s="32" t="n">
        <f aca="false">Z116-Z115</f>
        <v>0</v>
      </c>
      <c r="AA117" s="32" t="n">
        <f aca="false">AA116-AA115</f>
        <v>0</v>
      </c>
      <c r="AB117" s="32" t="n">
        <f aca="false">AB116-AB115</f>
        <v>0</v>
      </c>
      <c r="AC117" s="32" t="n">
        <f aca="false">AC116-AC115</f>
        <v>0</v>
      </c>
      <c r="AD117" s="32" t="n">
        <f aca="false">AD116-AD115</f>
        <v>0</v>
      </c>
    </row>
    <row r="118" customFormat="false" ht="15" hidden="false" customHeight="false" outlineLevel="1" collapsed="false">
      <c r="B118" s="4" t="s">
        <v>276</v>
      </c>
      <c r="C118" s="24" t="s">
        <v>120</v>
      </c>
      <c r="E118" s="32" t="n">
        <f aca="false">$D$110</f>
        <v>7800000</v>
      </c>
      <c r="F118" s="32" t="n">
        <f aca="false">E118-F117</f>
        <v>7344657.76033599</v>
      </c>
      <c r="G118" s="32" t="n">
        <f aca="false">F118-G117</f>
        <v>6836951.16311062</v>
      </c>
      <c r="H118" s="32" t="n">
        <f aca="false">G118-H117</f>
        <v>6270858.30720433</v>
      </c>
      <c r="I118" s="32" t="n">
        <f aca="false">H118-I117</f>
        <v>5639664.77286882</v>
      </c>
      <c r="J118" s="32" t="n">
        <f aca="false">I118-J117</f>
        <v>4935883.98208473</v>
      </c>
      <c r="K118" s="32" t="n">
        <f aca="false">J118-K117</f>
        <v>4151168.40036046</v>
      </c>
      <c r="L118" s="32" t="n">
        <f aca="false">K118-L117</f>
        <v>3276210.52673791</v>
      </c>
      <c r="M118" s="32" t="n">
        <f aca="false">L118-M117</f>
        <v>2300632.49764876</v>
      </c>
      <c r="N118" s="32" t="n">
        <f aca="false">M118-N117</f>
        <v>1212862.99521436</v>
      </c>
      <c r="O118" s="32" t="n">
        <f aca="false">N118-O117</f>
        <v>0</v>
      </c>
      <c r="P118" s="32" t="n">
        <f aca="false">O118-P117</f>
        <v>0</v>
      </c>
      <c r="Q118" s="32" t="n">
        <f aca="false">P118-Q117</f>
        <v>0</v>
      </c>
      <c r="R118" s="32" t="n">
        <f aca="false">Q118-R117</f>
        <v>0</v>
      </c>
      <c r="S118" s="32" t="n">
        <f aca="false">R118-S117</f>
        <v>0</v>
      </c>
      <c r="T118" s="32" t="n">
        <f aca="false">S118-T117</f>
        <v>0</v>
      </c>
      <c r="U118" s="32" t="n">
        <f aca="false">T118-U117</f>
        <v>0</v>
      </c>
      <c r="V118" s="32" t="n">
        <f aca="false">U118-V117</f>
        <v>0</v>
      </c>
      <c r="W118" s="32" t="n">
        <f aca="false">V118-W117</f>
        <v>0</v>
      </c>
      <c r="X118" s="32" t="n">
        <f aca="false">W118-X117</f>
        <v>0</v>
      </c>
      <c r="Y118" s="32" t="n">
        <f aca="false">X118-Y117</f>
        <v>0</v>
      </c>
      <c r="Z118" s="32" t="n">
        <f aca="false">Y118-Z117</f>
        <v>0</v>
      </c>
      <c r="AA118" s="32" t="n">
        <f aca="false">Z118-AA117</f>
        <v>0</v>
      </c>
      <c r="AB118" s="32" t="n">
        <f aca="false">AA118-AB117</f>
        <v>0</v>
      </c>
      <c r="AC118" s="32" t="n">
        <f aca="false">AB118-AC117</f>
        <v>0</v>
      </c>
      <c r="AD118" s="32" t="n">
        <f aca="false">AC118-AD117</f>
        <v>0</v>
      </c>
    </row>
    <row r="119" customFormat="false" ht="15" hidden="false" customHeight="false" outlineLevel="1" collapsed="false">
      <c r="B119" s="4" t="s">
        <v>277</v>
      </c>
      <c r="C119" s="24" t="s">
        <v>120</v>
      </c>
      <c r="F119" s="32" t="n">
        <f aca="false">Calculations!F$20*$D$108</f>
        <v>12000000</v>
      </c>
      <c r="G119" s="32" t="n">
        <f aca="false">Calculations!G$20*$D$108</f>
        <v>0</v>
      </c>
      <c r="H119" s="32" t="n">
        <f aca="false">Calculations!H$20*$D$108</f>
        <v>0</v>
      </c>
      <c r="I119" s="32" t="n">
        <f aca="false">Calculations!I$20*$D$108</f>
        <v>0</v>
      </c>
      <c r="J119" s="32" t="n">
        <f aca="false">Calculations!J$20*$D$108</f>
        <v>0</v>
      </c>
      <c r="K119" s="32" t="n">
        <f aca="false">Calculations!K$20*$D$108</f>
        <v>0</v>
      </c>
      <c r="L119" s="32" t="n">
        <f aca="false">Calculations!L$20*$D$108</f>
        <v>0</v>
      </c>
      <c r="M119" s="32" t="n">
        <f aca="false">Calculations!M$20*$D$108</f>
        <v>0</v>
      </c>
      <c r="N119" s="32" t="n">
        <f aca="false">Calculations!N$20*$D$108</f>
        <v>0</v>
      </c>
      <c r="O119" s="32" t="n">
        <f aca="false">Calculations!O$20*$D$108</f>
        <v>0</v>
      </c>
      <c r="P119" s="32" t="n">
        <f aca="false">Calculations!P$20*$D$108</f>
        <v>0</v>
      </c>
      <c r="Q119" s="32" t="n">
        <f aca="false">Calculations!Q$20*$D$108</f>
        <v>0</v>
      </c>
      <c r="R119" s="32" t="n">
        <f aca="false">Calculations!R$20*$D$108</f>
        <v>0</v>
      </c>
      <c r="S119" s="32" t="n">
        <f aca="false">Calculations!S$20*$D$108</f>
        <v>0</v>
      </c>
      <c r="T119" s="32" t="n">
        <f aca="false">Calculations!T$20*$D$108</f>
        <v>0</v>
      </c>
      <c r="U119" s="32" t="n">
        <f aca="false">Calculations!U$20*$D$108</f>
        <v>0</v>
      </c>
      <c r="V119" s="32" t="n">
        <f aca="false">Calculations!V$20*$D$108</f>
        <v>0</v>
      </c>
      <c r="W119" s="32" t="n">
        <f aca="false">Calculations!W$20*$D$108</f>
        <v>0</v>
      </c>
      <c r="X119" s="32" t="n">
        <f aca="false">Calculations!X$20*$D$108</f>
        <v>0</v>
      </c>
      <c r="Y119" s="32" t="n">
        <f aca="false">Calculations!Y$20*$D$108</f>
        <v>0</v>
      </c>
      <c r="Z119" s="32" t="n">
        <f aca="false">Calculations!Z$20*$D$108</f>
        <v>0</v>
      </c>
      <c r="AA119" s="32" t="n">
        <f aca="false">Calculations!AA$20*$D$108</f>
        <v>0</v>
      </c>
      <c r="AB119" s="32" t="n">
        <f aca="false">Calculations!AB$20*$D$108</f>
        <v>0</v>
      </c>
      <c r="AC119" s="32" t="n">
        <f aca="false">Calculations!AC$20*$D$108</f>
        <v>0</v>
      </c>
      <c r="AD119" s="32" t="n">
        <f aca="false">Calculations!AD$20*$D$108</f>
        <v>0</v>
      </c>
    </row>
    <row r="120" customFormat="false" ht="15" hidden="false" customHeight="false" outlineLevel="1" collapsed="false">
      <c r="B120" s="4" t="s">
        <v>169</v>
      </c>
      <c r="C120" s="24" t="s">
        <v>120</v>
      </c>
      <c r="F120" s="32" t="n">
        <f aca="false">F114-F115-F119</f>
        <v>-11369250</v>
      </c>
      <c r="G120" s="32" t="n">
        <f aca="false">G114-G115-G119</f>
        <v>759032.226311361</v>
      </c>
      <c r="H120" s="32" t="n">
        <f aca="false">H114-H115-H119</f>
        <v>897108.894765872</v>
      </c>
      <c r="I120" s="32" t="n">
        <f aca="false">I114-I115-I119</f>
        <v>1045859.98984468</v>
      </c>
      <c r="J120" s="32" t="n">
        <f aca="false">J114-J115-J119</f>
        <v>1206254.45122325</v>
      </c>
      <c r="K120" s="32" t="n">
        <f aca="false">K114-K115-K119</f>
        <v>1379359.79523668</v>
      </c>
      <c r="L120" s="32" t="n">
        <f aca="false">L114-L115-L119</f>
        <v>1566352.81258182</v>
      </c>
      <c r="M120" s="32" t="n">
        <f aca="false">M114-M115-M119</f>
        <v>1768531.46452124</v>
      </c>
      <c r="N120" s="32" t="n">
        <f aca="false">N114-N115-N119</f>
        <v>1987328.11383973</v>
      </c>
      <c r="O120" s="32" t="n">
        <f aca="false">O114-O115-O119</f>
        <v>2224324.24239464</v>
      </c>
      <c r="P120" s="32" t="n">
        <f aca="false">P114-P115-P119</f>
        <v>2481266.82448093</v>
      </c>
      <c r="Q120" s="32" t="n">
        <f aca="false">Q114-Q115-Q119</f>
        <v>2604567.18704422</v>
      </c>
      <c r="R120" s="32" t="n">
        <f aca="false">R114-R115-R119</f>
        <v>2733994.62862177</v>
      </c>
      <c r="S120" s="32" t="n">
        <f aca="false">S114-S115-S119</f>
        <v>2869853.61664185</v>
      </c>
      <c r="T120" s="32" t="n">
        <f aca="false">T114-T115-T119</f>
        <v>3012463.74809682</v>
      </c>
      <c r="U120" s="32" t="n">
        <f aca="false">U114-U115-U119</f>
        <v>3162160.50135676</v>
      </c>
      <c r="V120" s="32" t="n">
        <f aca="false">V114-V115-V119</f>
        <v>3319296.02534184</v>
      </c>
      <c r="W120" s="32" t="n">
        <f aca="false">W114-W115-W119</f>
        <v>3484239.96790984</v>
      </c>
      <c r="X120" s="32" t="n">
        <f aca="false">X114-X115-X119</f>
        <v>3657380.34540743</v>
      </c>
      <c r="Y120" s="32" t="n">
        <f aca="false">Y114-Y115-Y119</f>
        <v>3839124.45543074</v>
      </c>
      <c r="Z120" s="32" t="n">
        <f aca="false">Z114-Z115-Z119</f>
        <v>0</v>
      </c>
      <c r="AA120" s="32" t="n">
        <f aca="false">AA114-AA115-AA119</f>
        <v>0</v>
      </c>
      <c r="AB120" s="32" t="n">
        <f aca="false">AB114-AB115-AB119</f>
        <v>0</v>
      </c>
      <c r="AC120" s="32" t="n">
        <f aca="false">AC114-AC115-AC119</f>
        <v>0</v>
      </c>
      <c r="AD120" s="32" t="n">
        <f aca="false">AD114-AD115-AD119</f>
        <v>0</v>
      </c>
    </row>
    <row r="121" customFormat="false" ht="15" hidden="false" customHeight="false" outlineLevel="1" collapsed="false">
      <c r="B121" s="4" t="s">
        <v>172</v>
      </c>
      <c r="C121" s="24" t="s">
        <v>120</v>
      </c>
      <c r="F121" s="32" t="n">
        <f aca="false">MAX(0,E121-F120)</f>
        <v>11369250</v>
      </c>
      <c r="G121" s="32" t="n">
        <f aca="false">MAX(0,F121-G120)</f>
        <v>10610217.7736886</v>
      </c>
      <c r="H121" s="32" t="n">
        <f aca="false">MAX(0,G121-H120)</f>
        <v>9713108.87892277</v>
      </c>
      <c r="I121" s="32" t="n">
        <f aca="false">MAX(0,H121-I120)</f>
        <v>8667248.88907809</v>
      </c>
      <c r="J121" s="32" t="n">
        <f aca="false">MAX(0,I121-J120)</f>
        <v>7460994.43785484</v>
      </c>
      <c r="K121" s="32" t="n">
        <f aca="false">MAX(0,J121-K120)</f>
        <v>6081634.64261816</v>
      </c>
      <c r="L121" s="32" t="n">
        <f aca="false">MAX(0,K121-L120)</f>
        <v>4515281.83003634</v>
      </c>
      <c r="M121" s="32" t="n">
        <f aca="false">MAX(0,L121-M120)</f>
        <v>2746750.36551509</v>
      </c>
      <c r="N121" s="32" t="n">
        <f aca="false">MAX(0,M121-N120)</f>
        <v>759422.251675365</v>
      </c>
      <c r="O121" s="32" t="n">
        <f aca="false">MAX(0,N121-O120)</f>
        <v>0</v>
      </c>
      <c r="P121" s="32" t="n">
        <f aca="false">MAX(0,O121-P120)</f>
        <v>0</v>
      </c>
      <c r="Q121" s="32" t="n">
        <f aca="false">MAX(0,P121-Q120)</f>
        <v>0</v>
      </c>
      <c r="R121" s="32" t="n">
        <f aca="false">MAX(0,Q121-R120)</f>
        <v>0</v>
      </c>
      <c r="S121" s="32" t="n">
        <f aca="false">MAX(0,R121-S120)</f>
        <v>0</v>
      </c>
      <c r="T121" s="32" t="n">
        <f aca="false">MAX(0,S121-T120)</f>
        <v>0</v>
      </c>
      <c r="U121" s="32" t="n">
        <f aca="false">MAX(0,T121-U120)</f>
        <v>0</v>
      </c>
      <c r="V121" s="32" t="n">
        <f aca="false">MAX(0,U121-V120)</f>
        <v>0</v>
      </c>
      <c r="W121" s="32" t="n">
        <f aca="false">MAX(0,V121-W120)</f>
        <v>0</v>
      </c>
      <c r="X121" s="32" t="n">
        <f aca="false">MAX(0,W121-X120)</f>
        <v>0</v>
      </c>
      <c r="Y121" s="32" t="n">
        <f aca="false">MAX(0,X121-Y120)</f>
        <v>0</v>
      </c>
      <c r="Z121" s="32" t="n">
        <f aca="false">MAX(0,Y121-Z120)</f>
        <v>0</v>
      </c>
      <c r="AA121" s="32" t="n">
        <f aca="false">MAX(0,Z121-AA120)</f>
        <v>0</v>
      </c>
      <c r="AB121" s="32" t="n">
        <f aca="false">MAX(0,AA121-AB120)</f>
        <v>0</v>
      </c>
      <c r="AC121" s="32" t="n">
        <f aca="false">MAX(0,AB121-AC120)</f>
        <v>0</v>
      </c>
      <c r="AD121" s="32" t="n">
        <f aca="false">MAX(0,AC121-AD120)</f>
        <v>0</v>
      </c>
    </row>
    <row r="122" customFormat="false" ht="15" hidden="false" customHeight="false" outlineLevel="1" collapsed="false">
      <c r="B122" s="4" t="s">
        <v>173</v>
      </c>
      <c r="C122" s="24" t="s">
        <v>120</v>
      </c>
      <c r="F122" s="32" t="n">
        <f aca="false">Tax_Rate*MAX(0,F120-E121)</f>
        <v>0</v>
      </c>
      <c r="G122" s="32" t="n">
        <f aca="false">Tax_Rate*MAX(0,G120-F121)</f>
        <v>0</v>
      </c>
      <c r="H122" s="32" t="n">
        <f aca="false">Tax_Rate*MAX(0,H120-G121)</f>
        <v>0</v>
      </c>
      <c r="I122" s="32" t="n">
        <f aca="false">Tax_Rate*MAX(0,I120-H121)</f>
        <v>0</v>
      </c>
      <c r="J122" s="32" t="n">
        <f aca="false">Tax_Rate*MAX(0,J120-I121)</f>
        <v>0</v>
      </c>
      <c r="K122" s="32" t="n">
        <f aca="false">Tax_Rate*MAX(0,K120-J121)</f>
        <v>0</v>
      </c>
      <c r="L122" s="32" t="n">
        <f aca="false">Tax_Rate*MAX(0,L120-K121)</f>
        <v>0</v>
      </c>
      <c r="M122" s="32" t="n">
        <f aca="false">Tax_Rate*MAX(0,M120-L121)</f>
        <v>0</v>
      </c>
      <c r="N122" s="32" t="n">
        <f aca="false">Tax_Rate*MAX(0,N120-M121)</f>
        <v>0</v>
      </c>
      <c r="O122" s="32" t="n">
        <f aca="false">Tax_Rate*MAX(0,O120-N121)</f>
        <v>395523.537494204</v>
      </c>
      <c r="P122" s="32" t="n">
        <f aca="false">Tax_Rate*MAX(0,P120-O121)</f>
        <v>669942.042609852</v>
      </c>
      <c r="Q122" s="32" t="n">
        <f aca="false">Tax_Rate*MAX(0,Q120-P121)</f>
        <v>703233.14050194</v>
      </c>
      <c r="R122" s="32" t="n">
        <f aca="false">Tax_Rate*MAX(0,R120-Q121)</f>
        <v>738178.549727878</v>
      </c>
      <c r="S122" s="32" t="n">
        <f aca="false">Tax_Rate*MAX(0,S120-R121)</f>
        <v>774860.476493299</v>
      </c>
      <c r="T122" s="32" t="n">
        <f aca="false">Tax_Rate*MAX(0,T120-S121)</f>
        <v>813365.211986141</v>
      </c>
      <c r="U122" s="32" t="n">
        <f aca="false">Tax_Rate*MAX(0,U120-T121)</f>
        <v>853783.335366326</v>
      </c>
      <c r="V122" s="32" t="n">
        <f aca="false">Tax_Rate*MAX(0,V120-U121)</f>
        <v>896209.926842298</v>
      </c>
      <c r="W122" s="32" t="n">
        <f aca="false">Tax_Rate*MAX(0,W120-V121)</f>
        <v>940744.791335658</v>
      </c>
      <c r="X122" s="32" t="n">
        <f aca="false">Tax_Rate*MAX(0,X120-W121)</f>
        <v>987492.693260006</v>
      </c>
      <c r="Y122" s="32" t="n">
        <f aca="false">Tax_Rate*MAX(0,Y120-X121)</f>
        <v>1036563.6029663</v>
      </c>
      <c r="Z122" s="32" t="n">
        <f aca="false">Tax_Rate*MAX(0,Z120-Y121)</f>
        <v>0</v>
      </c>
      <c r="AA122" s="32" t="n">
        <f aca="false">Tax_Rate*MAX(0,AA120-Z121)</f>
        <v>0</v>
      </c>
      <c r="AB122" s="32" t="n">
        <f aca="false">Tax_Rate*MAX(0,AB120-AA121)</f>
        <v>0</v>
      </c>
      <c r="AC122" s="32" t="n">
        <f aca="false">Tax_Rate*MAX(0,AC120-AB121)</f>
        <v>0</v>
      </c>
      <c r="AD122" s="32" t="n">
        <f aca="false">Tax_Rate*MAX(0,AD120-AC121)</f>
        <v>0</v>
      </c>
    </row>
    <row r="123" customFormat="false" ht="15" hidden="false" customHeight="false" outlineLevel="1" collapsed="false">
      <c r="B123" s="4" t="s">
        <v>176</v>
      </c>
      <c r="C123" s="24" t="s">
        <v>120</v>
      </c>
      <c r="F123" s="32" t="n">
        <f aca="false">F114-F122</f>
        <v>1527750</v>
      </c>
      <c r="G123" s="32" t="n">
        <f aca="false">G114-G122</f>
        <v>1603667.86875</v>
      </c>
      <c r="H123" s="32" t="n">
        <f aca="false">H114-H122</f>
        <v>1683358.27852359</v>
      </c>
      <c r="I123" s="32" t="n">
        <f aca="false">I114-I122</f>
        <v>1767008.69517318</v>
      </c>
      <c r="J123" s="32" t="n">
        <f aca="false">J114-J122</f>
        <v>1854815.90010317</v>
      </c>
      <c r="K123" s="32" t="n">
        <f aca="false">K114-K122</f>
        <v>1946986.45317642</v>
      </c>
      <c r="L123" s="32" t="n">
        <f aca="false">L114-L122</f>
        <v>2043737.17862327</v>
      </c>
      <c r="M123" s="32" t="n">
        <f aca="false">M114-M122</f>
        <v>2145295.6750961</v>
      </c>
      <c r="N123" s="32" t="n">
        <f aca="false">N114-N122</f>
        <v>2251900.85106934</v>
      </c>
      <c r="O123" s="32" t="n">
        <f aca="false">O114-O122</f>
        <v>1968279.94935009</v>
      </c>
      <c r="P123" s="32" t="n">
        <f aca="false">P114-P122</f>
        <v>1811324.78187108</v>
      </c>
      <c r="Q123" s="32" t="n">
        <f aca="false">Q114-Q122</f>
        <v>1901334.04654228</v>
      </c>
      <c r="R123" s="32" t="n">
        <f aca="false">R114-R122</f>
        <v>1995816.07889389</v>
      </c>
      <c r="S123" s="32" t="n">
        <f aca="false">S114-S122</f>
        <v>2094993.14014855</v>
      </c>
      <c r="T123" s="32" t="n">
        <f aca="false">T114-T122</f>
        <v>2199098.53611068</v>
      </c>
      <c r="U123" s="32" t="n">
        <f aca="false">U114-U122</f>
        <v>2308377.16599044</v>
      </c>
      <c r="V123" s="32" t="n">
        <f aca="false">V114-V122</f>
        <v>2423086.09849955</v>
      </c>
      <c r="W123" s="32" t="n">
        <f aca="false">W114-W122</f>
        <v>2543495.17657418</v>
      </c>
      <c r="X123" s="32" t="n">
        <f aca="false">X114-X122</f>
        <v>2669887.65214742</v>
      </c>
      <c r="Y123" s="32" t="n">
        <f aca="false">Y114-Y122</f>
        <v>2802560.85246444</v>
      </c>
      <c r="Z123" s="32" t="n">
        <f aca="false">Z114-Z122</f>
        <v>0</v>
      </c>
      <c r="AA123" s="32" t="n">
        <f aca="false">AA114-AA122</f>
        <v>0</v>
      </c>
      <c r="AB123" s="32" t="n">
        <f aca="false">AB114-AB122</f>
        <v>0</v>
      </c>
      <c r="AC123" s="32" t="n">
        <f aca="false">AC114-AC122</f>
        <v>0</v>
      </c>
      <c r="AD123" s="32" t="n">
        <f aca="false">AD114-AD122</f>
        <v>0</v>
      </c>
    </row>
    <row r="124" customFormat="false" ht="15" hidden="false" customHeight="false" outlineLevel="1" collapsed="false">
      <c r="B124" s="4" t="s">
        <v>278</v>
      </c>
      <c r="C124" s="24" t="s">
        <v>111</v>
      </c>
      <c r="F124" s="62" t="n">
        <f aca="false">IF(AND(Calculations!F$7=1,F116&gt;0),F123/F116,"")</f>
        <v>1.12970663430551</v>
      </c>
      <c r="G124" s="62" t="n">
        <f aca="false">IF(AND(Calculations!G$7=1,G116&gt;0),G123/G116,"")</f>
        <v>1.18584469353589</v>
      </c>
      <c r="H124" s="62" t="n">
        <f aca="false">IF(AND(Calculations!H$7=1,H116&gt;0),H123/H116,"")</f>
        <v>1.24477238760347</v>
      </c>
      <c r="I124" s="62" t="n">
        <f aca="false">IF(AND(Calculations!I$7=1,I116&gt;0),I123/I116,"")</f>
        <v>1.30662833959264</v>
      </c>
      <c r="J124" s="62" t="n">
        <f aca="false">IF(AND(Calculations!J$7=1,J116&gt;0),J123/J116,"")</f>
        <v>1.37155806104525</v>
      </c>
      <c r="K124" s="62" t="n">
        <f aca="false">IF(AND(Calculations!K$7=1,K116&gt;0),K123/K116,"")</f>
        <v>1.43971429426042</v>
      </c>
      <c r="L124" s="62" t="n">
        <f aca="false">IF(AND(Calculations!L$7=1,L116&gt;0),L123/L116,"")</f>
        <v>1.51125737160369</v>
      </c>
      <c r="M124" s="62" t="n">
        <f aca="false">IF(AND(Calculations!M$7=1,M116&gt;0),M123/M116,"")</f>
        <v>1.58635559267091</v>
      </c>
      <c r="N124" s="62" t="n">
        <f aca="false">IF(AND(Calculations!N$7=1,N116&gt;0),N123/N116,"")</f>
        <v>1.66518562019391</v>
      </c>
      <c r="O124" s="62" t="n">
        <f aca="false">IF(AND(Calculations!O$7=1,O116&gt;0),O123/O116,"")</f>
        <v>1.4554599358215</v>
      </c>
      <c r="P124" s="62" t="str">
        <f aca="false">IF(AND(Calculations!P$7=1,P116&gt;0),P123/P116,"")</f>
        <v/>
      </c>
      <c r="Q124" s="62" t="str">
        <f aca="false">IF(AND(Calculations!Q$7=1,Q116&gt;0),Q123/Q116,"")</f>
        <v/>
      </c>
      <c r="R124" s="62" t="str">
        <f aca="false">IF(AND(Calculations!R$7=1,R116&gt;0),R123/R116,"")</f>
        <v/>
      </c>
      <c r="S124" s="62" t="str">
        <f aca="false">IF(AND(Calculations!S$7=1,S116&gt;0),S123/S116,"")</f>
        <v/>
      </c>
      <c r="T124" s="62" t="str">
        <f aca="false">IF(AND(Calculations!T$7=1,T116&gt;0),T123/T116,"")</f>
        <v/>
      </c>
      <c r="U124" s="62" t="str">
        <f aca="false">IF(AND(Calculations!U$7=1,U116&gt;0),U123/U116,"")</f>
        <v/>
      </c>
      <c r="V124" s="62" t="str">
        <f aca="false">IF(AND(Calculations!V$7=1,V116&gt;0),V123/V116,"")</f>
        <v/>
      </c>
      <c r="W124" s="62" t="str">
        <f aca="false">IF(AND(Calculations!W$7=1,W116&gt;0),W123/W116,"")</f>
        <v/>
      </c>
      <c r="X124" s="62" t="str">
        <f aca="false">IF(AND(Calculations!X$7=1,X116&gt;0),X123/X116,"")</f>
        <v/>
      </c>
      <c r="Y124" s="62" t="str">
        <f aca="false">IF(AND(Calculations!Y$7=1,Y116&gt;0),Y123/Y116,"")</f>
        <v/>
      </c>
      <c r="Z124" s="62" t="str">
        <f aca="false">IF(AND(Calculations!Z$7=1,Z116&gt;0),Z123/Z116,"")</f>
        <v/>
      </c>
      <c r="AA124" s="62" t="str">
        <f aca="false">IF(AND(Calculations!AA$7=1,AA116&gt;0),AA123/AA116,"")</f>
        <v/>
      </c>
      <c r="AB124" s="62" t="str">
        <f aca="false">IF(AND(Calculations!AB$7=1,AB116&gt;0),AB123/AB116,"")</f>
        <v/>
      </c>
      <c r="AC124" s="62" t="str">
        <f aca="false">IF(AND(Calculations!AC$7=1,AC116&gt;0),AC123/AC116,"")</f>
        <v/>
      </c>
      <c r="AD124" s="62" t="str">
        <f aca="false">IF(AND(Calculations!AD$7=1,AD116&gt;0),AD123/AD116,"")</f>
        <v/>
      </c>
    </row>
    <row r="125" customFormat="false" ht="15" hidden="false" customHeight="false" outlineLevel="1" collapsed="false">
      <c r="B125" s="4" t="s">
        <v>182</v>
      </c>
      <c r="C125" s="24" t="s">
        <v>120</v>
      </c>
      <c r="E125" s="32" t="n">
        <f aca="false">-($D$109-$D$110)</f>
        <v>-4200000</v>
      </c>
      <c r="F125" s="32" t="n">
        <f aca="false">F123-F116</f>
        <v>175407.760335991</v>
      </c>
      <c r="G125" s="32" t="n">
        <f aca="false">G123-G116</f>
        <v>251325.629085991</v>
      </c>
      <c r="H125" s="32" t="n">
        <f aca="false">H123-H116</f>
        <v>331016.038859584</v>
      </c>
      <c r="I125" s="32" t="n">
        <f aca="false">I123-I116</f>
        <v>414666.45550917</v>
      </c>
      <c r="J125" s="32" t="n">
        <f aca="false">J123-J116</f>
        <v>502473.660439156</v>
      </c>
      <c r="K125" s="32" t="n">
        <f aca="false">K123-K116</f>
        <v>594644.213512411</v>
      </c>
      <c r="L125" s="32" t="n">
        <f aca="false">L123-L116</f>
        <v>691394.938959265</v>
      </c>
      <c r="M125" s="32" t="n">
        <f aca="false">M123-M116</f>
        <v>792953.435432095</v>
      </c>
      <c r="N125" s="32" t="n">
        <f aca="false">N123-N116</f>
        <v>899558.611405328</v>
      </c>
      <c r="O125" s="32" t="n">
        <f aca="false">O123-O116</f>
        <v>615937.709686078</v>
      </c>
      <c r="P125" s="32" t="n">
        <f aca="false">P123-P116</f>
        <v>1811324.78187108</v>
      </c>
      <c r="Q125" s="32" t="n">
        <f aca="false">Q123-Q116</f>
        <v>1901334.04654228</v>
      </c>
      <c r="R125" s="32" t="n">
        <f aca="false">R123-R116</f>
        <v>1995816.07889389</v>
      </c>
      <c r="S125" s="32" t="n">
        <f aca="false">S123-S116</f>
        <v>2094993.14014855</v>
      </c>
      <c r="T125" s="32" t="n">
        <f aca="false">T123-T116</f>
        <v>2199098.53611068</v>
      </c>
      <c r="U125" s="32" t="n">
        <f aca="false">U123-U116</f>
        <v>2308377.16599044</v>
      </c>
      <c r="V125" s="32" t="n">
        <f aca="false">V123-V116</f>
        <v>2423086.09849955</v>
      </c>
      <c r="W125" s="32" t="n">
        <f aca="false">W123-W116</f>
        <v>2543495.17657418</v>
      </c>
      <c r="X125" s="32" t="n">
        <f aca="false">X123-X116</f>
        <v>2669887.65214742</v>
      </c>
      <c r="Y125" s="32" t="n">
        <f aca="false">Y123-Y116</f>
        <v>2802560.85246444</v>
      </c>
      <c r="Z125" s="32" t="n">
        <f aca="false">Z123-Z116</f>
        <v>0</v>
      </c>
      <c r="AA125" s="32" t="n">
        <f aca="false">AA123-AA116</f>
        <v>0</v>
      </c>
      <c r="AB125" s="32" t="n">
        <f aca="false">AB123-AB116</f>
        <v>0</v>
      </c>
      <c r="AC125" s="32" t="n">
        <f aca="false">AC123-AC116</f>
        <v>0</v>
      </c>
      <c r="AD125" s="32" t="n">
        <f aca="false">AD123-AD116</f>
        <v>0</v>
      </c>
    </row>
    <row r="126" customFormat="false" ht="15" hidden="false" customHeight="false" outlineLevel="1" collapsed="false">
      <c r="B126" s="3" t="s">
        <v>208</v>
      </c>
      <c r="C126" s="24" t="s">
        <v>97</v>
      </c>
      <c r="D126" s="76" t="n">
        <f aca="false">IRR(E125:AD125)</f>
        <v>0.167220630332377</v>
      </c>
    </row>
    <row r="127" customFormat="false" ht="15" hidden="false" customHeight="false" outlineLevel="1" collapsed="false">
      <c r="B127" s="3" t="s">
        <v>210</v>
      </c>
      <c r="C127" s="24" t="s">
        <v>111</v>
      </c>
      <c r="D127" s="49" t="n">
        <f aca="false">MIN(F124:AD124)</f>
        <v>1.12970663430551</v>
      </c>
    </row>
    <row r="128" customFormat="false" ht="15" hidden="false" customHeight="false" outlineLevel="1" collapsed="false">
      <c r="B128" s="3" t="s">
        <v>262</v>
      </c>
      <c r="C128" s="24" t="s">
        <v>120</v>
      </c>
      <c r="D128" s="44" t="n">
        <f aca="false">E125+NPV(Equity_Discount_Rate,F125:AD125)</f>
        <v>276930.87987229</v>
      </c>
    </row>
    <row r="130" customFormat="false" ht="15" hidden="false" customHeight="false" outlineLevel="0" collapsed="false">
      <c r="B130" s="21" t="s">
        <v>282</v>
      </c>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row>
    <row r="131" customFormat="false" ht="15" hidden="false" customHeight="false" outlineLevel="1" collapsed="false">
      <c r="B131" s="4" t="s">
        <v>258</v>
      </c>
      <c r="C131" s="24" t="s">
        <v>111</v>
      </c>
      <c r="D131" s="62" t="n">
        <f aca="false">1</f>
        <v>1</v>
      </c>
    </row>
    <row r="132" customFormat="false" ht="15" hidden="false" customHeight="false" outlineLevel="1" collapsed="false">
      <c r="B132" s="4" t="s">
        <v>259</v>
      </c>
      <c r="C132" s="24" t="s">
        <v>111</v>
      </c>
      <c r="D132" s="62" t="n">
        <f aca="false">1</f>
        <v>1</v>
      </c>
    </row>
    <row r="133" customFormat="false" ht="15" hidden="false" customHeight="false" outlineLevel="1" collapsed="false">
      <c r="B133" s="4" t="s">
        <v>271</v>
      </c>
      <c r="C133" s="24" t="s">
        <v>120</v>
      </c>
      <c r="D133" s="32" t="n">
        <f aca="false">Capex_Total*D132</f>
        <v>12000000</v>
      </c>
    </row>
    <row r="134" customFormat="false" ht="15" hidden="false" customHeight="false" outlineLevel="1" collapsed="false">
      <c r="B134" s="4" t="s">
        <v>272</v>
      </c>
      <c r="C134" s="24" t="s">
        <v>120</v>
      </c>
      <c r="D134" s="32" t="n">
        <f aca="false">D133*Gearing</f>
        <v>7800000</v>
      </c>
    </row>
    <row r="135" customFormat="false" ht="15" hidden="false" customHeight="false" outlineLevel="1" collapsed="false">
      <c r="B135" s="4" t="s">
        <v>273</v>
      </c>
      <c r="C135" s="24" t="s">
        <v>120</v>
      </c>
      <c r="D135" s="32" t="n">
        <f aca="false">-PMT(Interest_Rate,Debt_Tenor,D134)</f>
        <v>1352342.23966401</v>
      </c>
    </row>
    <row r="136" customFormat="false" ht="15" hidden="false" customHeight="false" outlineLevel="1" collapsed="false">
      <c r="B136" s="4" t="s">
        <v>144</v>
      </c>
      <c r="C136" s="24"/>
      <c r="E136" s="75" t="n">
        <f aca="false">Calculations!E$5</f>
        <v>0</v>
      </c>
      <c r="F136" s="75" t="n">
        <f aca="false">Calculations!F$5</f>
        <v>1</v>
      </c>
      <c r="G136" s="75" t="n">
        <f aca="false">Calculations!G$5</f>
        <v>2</v>
      </c>
      <c r="H136" s="75" t="n">
        <f aca="false">Calculations!H$5</f>
        <v>3</v>
      </c>
      <c r="I136" s="75" t="n">
        <f aca="false">Calculations!I$5</f>
        <v>4</v>
      </c>
      <c r="J136" s="75" t="n">
        <f aca="false">Calculations!J$5</f>
        <v>5</v>
      </c>
      <c r="K136" s="75" t="n">
        <f aca="false">Calculations!K$5</f>
        <v>6</v>
      </c>
      <c r="L136" s="75" t="n">
        <f aca="false">Calculations!L$5</f>
        <v>7</v>
      </c>
      <c r="M136" s="75" t="n">
        <f aca="false">Calculations!M$5</f>
        <v>8</v>
      </c>
      <c r="N136" s="75" t="n">
        <f aca="false">Calculations!N$5</f>
        <v>9</v>
      </c>
      <c r="O136" s="75" t="n">
        <f aca="false">Calculations!O$5</f>
        <v>10</v>
      </c>
      <c r="P136" s="75" t="n">
        <f aca="false">Calculations!P$5</f>
        <v>11</v>
      </c>
      <c r="Q136" s="75" t="n">
        <f aca="false">Calculations!Q$5</f>
        <v>12</v>
      </c>
      <c r="R136" s="75" t="n">
        <f aca="false">Calculations!R$5</f>
        <v>13</v>
      </c>
      <c r="S136" s="75" t="n">
        <f aca="false">Calculations!S$5</f>
        <v>14</v>
      </c>
      <c r="T136" s="75" t="n">
        <f aca="false">Calculations!T$5</f>
        <v>15</v>
      </c>
      <c r="U136" s="75" t="n">
        <f aca="false">Calculations!U$5</f>
        <v>16</v>
      </c>
      <c r="V136" s="75" t="n">
        <f aca="false">Calculations!V$5</f>
        <v>17</v>
      </c>
      <c r="W136" s="75" t="n">
        <f aca="false">Calculations!W$5</f>
        <v>18</v>
      </c>
      <c r="X136" s="75" t="n">
        <f aca="false">Calculations!X$5</f>
        <v>19</v>
      </c>
      <c r="Y136" s="75" t="n">
        <f aca="false">Calculations!Y$5</f>
        <v>20</v>
      </c>
      <c r="Z136" s="75" t="n">
        <f aca="false">Calculations!Z$5</f>
        <v>21</v>
      </c>
      <c r="AA136" s="75" t="n">
        <f aca="false">Calculations!AA$5</f>
        <v>22</v>
      </c>
      <c r="AB136" s="75" t="n">
        <f aca="false">Calculations!AB$5</f>
        <v>23</v>
      </c>
      <c r="AC136" s="75" t="n">
        <f aca="false">Calculations!AC$5</f>
        <v>24</v>
      </c>
      <c r="AD136" s="75" t="n">
        <f aca="false">Calculations!AD$5</f>
        <v>25</v>
      </c>
    </row>
    <row r="137" customFormat="false" ht="15" hidden="false" customHeight="false" outlineLevel="1" collapsed="false">
      <c r="B137" s="4" t="s">
        <v>152</v>
      </c>
      <c r="C137" s="24" t="s">
        <v>120</v>
      </c>
      <c r="F137" s="32" t="n">
        <f aca="false">Calculations!F$12*$D$131</f>
        <v>1897500</v>
      </c>
      <c r="G137" s="32" t="n">
        <f aca="false">Calculations!G$12*$D$131</f>
        <v>1991853.1875</v>
      </c>
      <c r="H137" s="32" t="n">
        <f aca="false">Calculations!H$12*$D$131</f>
        <v>2090898.08724844</v>
      </c>
      <c r="I137" s="32" t="n">
        <f aca="false">Calculations!I$12*$D$131</f>
        <v>2194867.99463687</v>
      </c>
      <c r="J137" s="32" t="n">
        <f aca="false">Calculations!J$12*$D$131</f>
        <v>2304007.80567018</v>
      </c>
      <c r="K137" s="32" t="n">
        <f aca="false">Calculations!K$12*$D$131</f>
        <v>2418574.59380713</v>
      </c>
      <c r="L137" s="32" t="n">
        <f aca="false">Calculations!L$12*$D$131</f>
        <v>2538838.21548419</v>
      </c>
      <c r="M137" s="32" t="n">
        <f aca="false">Calculations!M$12*$D$131</f>
        <v>2665081.94574914</v>
      </c>
      <c r="N137" s="32" t="n">
        <f aca="false">Calculations!N$12*$D$131</f>
        <v>2797603.14550152</v>
      </c>
      <c r="O137" s="32" t="n">
        <f aca="false">Calculations!O$12*$D$131</f>
        <v>2936713.96191158</v>
      </c>
      <c r="P137" s="32" t="n">
        <f aca="false">Calculations!P$12*$D$131</f>
        <v>3082742.06366764</v>
      </c>
      <c r="Q137" s="32" t="n">
        <f aca="false">Calculations!Q$12*$D$131</f>
        <v>3236031.41278351</v>
      </c>
      <c r="R137" s="32" t="n">
        <f aca="false">Calculations!R$12*$D$131</f>
        <v>3396943.07478417</v>
      </c>
      <c r="S137" s="32" t="n">
        <f aca="false">Calculations!S$12*$D$131</f>
        <v>3565856.06917781</v>
      </c>
      <c r="T137" s="32" t="n">
        <f aca="false">Calculations!T$12*$D$131</f>
        <v>3743168.26221768</v>
      </c>
      <c r="U137" s="32" t="n">
        <f aca="false">Calculations!U$12*$D$131</f>
        <v>3929297.30405645</v>
      </c>
      <c r="V137" s="32" t="n">
        <f aca="false">Calculations!V$12*$D$131</f>
        <v>4124681.61250066</v>
      </c>
      <c r="W137" s="32" t="n">
        <f aca="false">Calculations!W$12*$D$131</f>
        <v>4329781.40568225</v>
      </c>
      <c r="X137" s="32" t="n">
        <f aca="false">Calculations!X$12*$D$131</f>
        <v>4545079.7860798</v>
      </c>
      <c r="Y137" s="32" t="n">
        <f aca="false">Calculations!Y$12*$D$131</f>
        <v>4771083.87844262</v>
      </c>
      <c r="Z137" s="32" t="n">
        <f aca="false">Calculations!Z$12*$D$131</f>
        <v>0</v>
      </c>
      <c r="AA137" s="32" t="n">
        <f aca="false">Calculations!AA$12*$D$131</f>
        <v>0</v>
      </c>
      <c r="AB137" s="32" t="n">
        <f aca="false">Calculations!AB$12*$D$131</f>
        <v>0</v>
      </c>
      <c r="AC137" s="32" t="n">
        <f aca="false">Calculations!AC$12*$D$131</f>
        <v>0</v>
      </c>
      <c r="AD137" s="32" t="n">
        <f aca="false">Calculations!AD$12*$D$131</f>
        <v>0</v>
      </c>
    </row>
    <row r="138" customFormat="false" ht="15" hidden="false" customHeight="false" outlineLevel="1" collapsed="false">
      <c r="B138" s="4" t="s">
        <v>155</v>
      </c>
      <c r="C138" s="24" t="s">
        <v>120</v>
      </c>
      <c r="F138" s="32" t="n">
        <f aca="false">F137-Calculations!F$15</f>
        <v>1717500</v>
      </c>
      <c r="G138" s="32" t="n">
        <f aca="false">G137-Calculations!G$15</f>
        <v>1802853.1875</v>
      </c>
      <c r="H138" s="32" t="n">
        <f aca="false">H137-Calculations!H$15</f>
        <v>1892448.08724844</v>
      </c>
      <c r="I138" s="32" t="n">
        <f aca="false">I137-Calculations!I$15</f>
        <v>1986495.49463687</v>
      </c>
      <c r="J138" s="32" t="n">
        <f aca="false">J137-Calculations!J$15</f>
        <v>2085216.68067018</v>
      </c>
      <c r="K138" s="32" t="n">
        <f aca="false">K137-Calculations!K$15</f>
        <v>2188843.91255713</v>
      </c>
      <c r="L138" s="32" t="n">
        <f aca="false">L137-Calculations!L$15</f>
        <v>2297621.00017169</v>
      </c>
      <c r="M138" s="32" t="n">
        <f aca="false">M137-Calculations!M$15</f>
        <v>2411803.86967102</v>
      </c>
      <c r="N138" s="32" t="n">
        <f aca="false">N137-Calculations!N$15</f>
        <v>2531661.16561949</v>
      </c>
      <c r="O138" s="32" t="n">
        <f aca="false">O137-Calculations!O$15</f>
        <v>2657474.88303545</v>
      </c>
      <c r="P138" s="32" t="n">
        <f aca="false">P137-Calculations!P$15</f>
        <v>2789541.0308477</v>
      </c>
      <c r="Q138" s="32" t="n">
        <f aca="false">Q137-Calculations!Q$15</f>
        <v>2928170.32832257</v>
      </c>
      <c r="R138" s="32" t="n">
        <f aca="false">R137-Calculations!R$15</f>
        <v>3073688.93610019</v>
      </c>
      <c r="S138" s="32" t="n">
        <f aca="false">S137-Calculations!S$15</f>
        <v>3226439.22355963</v>
      </c>
      <c r="T138" s="32" t="n">
        <f aca="false">T137-Calculations!T$15</f>
        <v>3386780.57431859</v>
      </c>
      <c r="U138" s="32" t="n">
        <f aca="false">U137-Calculations!U$15</f>
        <v>3555090.23176241</v>
      </c>
      <c r="V138" s="32" t="n">
        <f aca="false">V137-Calculations!V$15</f>
        <v>3731764.18659191</v>
      </c>
      <c r="W138" s="32" t="n">
        <f aca="false">W137-Calculations!W$15</f>
        <v>3917218.10847807</v>
      </c>
      <c r="X138" s="32" t="n">
        <f aca="false">X137-Calculations!X$15</f>
        <v>4111888.32401541</v>
      </c>
      <c r="Y138" s="32" t="n">
        <f aca="false">Y137-Calculations!Y$15</f>
        <v>4316232.84327501</v>
      </c>
      <c r="Z138" s="32" t="n">
        <f aca="false">Z137-Calculations!Z$15</f>
        <v>0</v>
      </c>
      <c r="AA138" s="32" t="n">
        <f aca="false">AA137-Calculations!AA$15</f>
        <v>0</v>
      </c>
      <c r="AB138" s="32" t="n">
        <f aca="false">AB137-Calculations!AB$15</f>
        <v>0</v>
      </c>
      <c r="AC138" s="32" t="n">
        <f aca="false">AC137-Calculations!AC$15</f>
        <v>0</v>
      </c>
      <c r="AD138" s="32" t="n">
        <f aca="false">AD137-Calculations!AD$15</f>
        <v>0</v>
      </c>
    </row>
    <row r="139" customFormat="false" ht="15" hidden="false" customHeight="false" outlineLevel="1" collapsed="false">
      <c r="B139" s="4" t="s">
        <v>274</v>
      </c>
      <c r="C139" s="24" t="s">
        <v>120</v>
      </c>
      <c r="F139" s="32" t="n">
        <f aca="false">E142*Interest_Rate*Calculations!F$7</f>
        <v>897000</v>
      </c>
      <c r="G139" s="32" t="n">
        <f aca="false">F142*Interest_Rate*Calculations!G$7</f>
        <v>844635.642438639</v>
      </c>
      <c r="H139" s="32" t="n">
        <f aca="false">G142*Interest_Rate*Calculations!H$7</f>
        <v>786249.383757722</v>
      </c>
      <c r="I139" s="32" t="n">
        <f aca="false">H142*Interest_Rate*Calculations!I$7</f>
        <v>721148.705328499</v>
      </c>
      <c r="J139" s="32" t="n">
        <f aca="false">I142*Interest_Rate*Calculations!J$7</f>
        <v>648561.448879915</v>
      </c>
      <c r="K139" s="32" t="n">
        <f aca="false">J142*Interest_Rate*Calculations!K$7</f>
        <v>567626.657939744</v>
      </c>
      <c r="L139" s="32" t="n">
        <f aca="false">K142*Interest_Rate*Calculations!L$7</f>
        <v>477384.366041453</v>
      </c>
      <c r="M139" s="32" t="n">
        <f aca="false">L142*Interest_Rate*Calculations!M$7</f>
        <v>376764.210574859</v>
      </c>
      <c r="N139" s="32" t="n">
        <f aca="false">M142*Interest_Rate*Calculations!N$7</f>
        <v>264572.737229607</v>
      </c>
      <c r="O139" s="32" t="n">
        <f aca="false">N142*Interest_Rate*Calculations!O$7</f>
        <v>139479.244449651</v>
      </c>
      <c r="P139" s="32" t="n">
        <f aca="false">O142*Interest_Rate*Calculations!P$7</f>
        <v>0</v>
      </c>
      <c r="Q139" s="32" t="n">
        <f aca="false">P142*Interest_Rate*Calculations!Q$7</f>
        <v>0</v>
      </c>
      <c r="R139" s="32" t="n">
        <f aca="false">Q142*Interest_Rate*Calculations!R$7</f>
        <v>0</v>
      </c>
      <c r="S139" s="32" t="n">
        <f aca="false">R142*Interest_Rate*Calculations!S$7</f>
        <v>0</v>
      </c>
      <c r="T139" s="32" t="n">
        <f aca="false">S142*Interest_Rate*Calculations!T$7</f>
        <v>0</v>
      </c>
      <c r="U139" s="32" t="n">
        <f aca="false">T142*Interest_Rate*Calculations!U$7</f>
        <v>0</v>
      </c>
      <c r="V139" s="32" t="n">
        <f aca="false">U142*Interest_Rate*Calculations!V$7</f>
        <v>0</v>
      </c>
      <c r="W139" s="32" t="n">
        <f aca="false">V142*Interest_Rate*Calculations!W$7</f>
        <v>0</v>
      </c>
      <c r="X139" s="32" t="n">
        <f aca="false">W142*Interest_Rate*Calculations!X$7</f>
        <v>0</v>
      </c>
      <c r="Y139" s="32" t="n">
        <f aca="false">X142*Interest_Rate*Calculations!Y$7</f>
        <v>0</v>
      </c>
      <c r="Z139" s="32" t="n">
        <f aca="false">Y142*Interest_Rate*Calculations!Z$7</f>
        <v>0</v>
      </c>
      <c r="AA139" s="32" t="n">
        <f aca="false">Z142*Interest_Rate*Calculations!AA$7</f>
        <v>0</v>
      </c>
      <c r="AB139" s="32" t="n">
        <f aca="false">AA142*Interest_Rate*Calculations!AB$7</f>
        <v>0</v>
      </c>
      <c r="AC139" s="32" t="n">
        <f aca="false">AB142*Interest_Rate*Calculations!AC$7</f>
        <v>0</v>
      </c>
      <c r="AD139" s="32" t="n">
        <f aca="false">AC142*Interest_Rate*Calculations!AD$7</f>
        <v>0</v>
      </c>
    </row>
    <row r="140" customFormat="false" ht="15" hidden="false" customHeight="false" outlineLevel="1" collapsed="false">
      <c r="B140" s="4" t="s">
        <v>177</v>
      </c>
      <c r="C140" s="24" t="s">
        <v>120</v>
      </c>
      <c r="F140" s="32" t="n">
        <f aca="false">$D$135*Calculations!F$7</f>
        <v>1352342.23966401</v>
      </c>
      <c r="G140" s="32" t="n">
        <f aca="false">$D$135*Calculations!G$7</f>
        <v>1352342.23966401</v>
      </c>
      <c r="H140" s="32" t="n">
        <f aca="false">$D$135*Calculations!H$7</f>
        <v>1352342.23966401</v>
      </c>
      <c r="I140" s="32" t="n">
        <f aca="false">$D$135*Calculations!I$7</f>
        <v>1352342.23966401</v>
      </c>
      <c r="J140" s="32" t="n">
        <f aca="false">$D$135*Calculations!J$7</f>
        <v>1352342.23966401</v>
      </c>
      <c r="K140" s="32" t="n">
        <f aca="false">$D$135*Calculations!K$7</f>
        <v>1352342.23966401</v>
      </c>
      <c r="L140" s="32" t="n">
        <f aca="false">$D$135*Calculations!L$7</f>
        <v>1352342.23966401</v>
      </c>
      <c r="M140" s="32" t="n">
        <f aca="false">$D$135*Calculations!M$7</f>
        <v>1352342.23966401</v>
      </c>
      <c r="N140" s="32" t="n">
        <f aca="false">$D$135*Calculations!N$7</f>
        <v>1352342.23966401</v>
      </c>
      <c r="O140" s="32" t="n">
        <f aca="false">$D$135*Calculations!O$7</f>
        <v>1352342.23966401</v>
      </c>
      <c r="P140" s="32" t="n">
        <f aca="false">$D$135*Calculations!P$7</f>
        <v>0</v>
      </c>
      <c r="Q140" s="32" t="n">
        <f aca="false">$D$135*Calculations!Q$7</f>
        <v>0</v>
      </c>
      <c r="R140" s="32" t="n">
        <f aca="false">$D$135*Calculations!R$7</f>
        <v>0</v>
      </c>
      <c r="S140" s="32" t="n">
        <f aca="false">$D$135*Calculations!S$7</f>
        <v>0</v>
      </c>
      <c r="T140" s="32" t="n">
        <f aca="false">$D$135*Calculations!T$7</f>
        <v>0</v>
      </c>
      <c r="U140" s="32" t="n">
        <f aca="false">$D$135*Calculations!U$7</f>
        <v>0</v>
      </c>
      <c r="V140" s="32" t="n">
        <f aca="false">$D$135*Calculations!V$7</f>
        <v>0</v>
      </c>
      <c r="W140" s="32" t="n">
        <f aca="false">$D$135*Calculations!W$7</f>
        <v>0</v>
      </c>
      <c r="X140" s="32" t="n">
        <f aca="false">$D$135*Calculations!X$7</f>
        <v>0</v>
      </c>
      <c r="Y140" s="32" t="n">
        <f aca="false">$D$135*Calculations!Y$7</f>
        <v>0</v>
      </c>
      <c r="Z140" s="32" t="n">
        <f aca="false">$D$135*Calculations!Z$7</f>
        <v>0</v>
      </c>
      <c r="AA140" s="32" t="n">
        <f aca="false">$D$135*Calculations!AA$7</f>
        <v>0</v>
      </c>
      <c r="AB140" s="32" t="n">
        <f aca="false">$D$135*Calculations!AB$7</f>
        <v>0</v>
      </c>
      <c r="AC140" s="32" t="n">
        <f aca="false">$D$135*Calculations!AC$7</f>
        <v>0</v>
      </c>
      <c r="AD140" s="32" t="n">
        <f aca="false">$D$135*Calculations!AD$7</f>
        <v>0</v>
      </c>
    </row>
    <row r="141" customFormat="false" ht="15" hidden="false" customHeight="false" outlineLevel="1" collapsed="false">
      <c r="B141" s="4" t="s">
        <v>275</v>
      </c>
      <c r="C141" s="24" t="s">
        <v>120</v>
      </c>
      <c r="F141" s="32" t="n">
        <f aca="false">F140-F139</f>
        <v>455342.239664009</v>
      </c>
      <c r="G141" s="32" t="n">
        <f aca="false">G140-G139</f>
        <v>507706.59722537</v>
      </c>
      <c r="H141" s="32" t="n">
        <f aca="false">H140-H139</f>
        <v>566092.855906288</v>
      </c>
      <c r="I141" s="32" t="n">
        <f aca="false">I140-I139</f>
        <v>631193.534335511</v>
      </c>
      <c r="J141" s="32" t="n">
        <f aca="false">J140-J139</f>
        <v>703780.790784094</v>
      </c>
      <c r="K141" s="32" t="n">
        <f aca="false">K140-K139</f>
        <v>784715.581724265</v>
      </c>
      <c r="L141" s="32" t="n">
        <f aca="false">L140-L139</f>
        <v>874957.873622556</v>
      </c>
      <c r="M141" s="32" t="n">
        <f aca="false">M140-M139</f>
        <v>975578.02908915</v>
      </c>
      <c r="N141" s="32" t="n">
        <f aca="false">N140-N139</f>
        <v>1087769.5024344</v>
      </c>
      <c r="O141" s="32" t="n">
        <f aca="false">O140-O139</f>
        <v>1212862.99521436</v>
      </c>
      <c r="P141" s="32" t="n">
        <f aca="false">P140-P139</f>
        <v>0</v>
      </c>
      <c r="Q141" s="32" t="n">
        <f aca="false">Q140-Q139</f>
        <v>0</v>
      </c>
      <c r="R141" s="32" t="n">
        <f aca="false">R140-R139</f>
        <v>0</v>
      </c>
      <c r="S141" s="32" t="n">
        <f aca="false">S140-S139</f>
        <v>0</v>
      </c>
      <c r="T141" s="32" t="n">
        <f aca="false">T140-T139</f>
        <v>0</v>
      </c>
      <c r="U141" s="32" t="n">
        <f aca="false">U140-U139</f>
        <v>0</v>
      </c>
      <c r="V141" s="32" t="n">
        <f aca="false">V140-V139</f>
        <v>0</v>
      </c>
      <c r="W141" s="32" t="n">
        <f aca="false">W140-W139</f>
        <v>0</v>
      </c>
      <c r="X141" s="32" t="n">
        <f aca="false">X140-X139</f>
        <v>0</v>
      </c>
      <c r="Y141" s="32" t="n">
        <f aca="false">Y140-Y139</f>
        <v>0</v>
      </c>
      <c r="Z141" s="32" t="n">
        <f aca="false">Z140-Z139</f>
        <v>0</v>
      </c>
      <c r="AA141" s="32" t="n">
        <f aca="false">AA140-AA139</f>
        <v>0</v>
      </c>
      <c r="AB141" s="32" t="n">
        <f aca="false">AB140-AB139</f>
        <v>0</v>
      </c>
      <c r="AC141" s="32" t="n">
        <f aca="false">AC140-AC139</f>
        <v>0</v>
      </c>
      <c r="AD141" s="32" t="n">
        <f aca="false">AD140-AD139</f>
        <v>0</v>
      </c>
    </row>
    <row r="142" customFormat="false" ht="15" hidden="false" customHeight="false" outlineLevel="1" collapsed="false">
      <c r="B142" s="4" t="s">
        <v>276</v>
      </c>
      <c r="C142" s="24" t="s">
        <v>120</v>
      </c>
      <c r="E142" s="32" t="n">
        <f aca="false">$D$134</f>
        <v>7800000</v>
      </c>
      <c r="F142" s="32" t="n">
        <f aca="false">E142-F141</f>
        <v>7344657.76033599</v>
      </c>
      <c r="G142" s="32" t="n">
        <f aca="false">F142-G141</f>
        <v>6836951.16311062</v>
      </c>
      <c r="H142" s="32" t="n">
        <f aca="false">G142-H141</f>
        <v>6270858.30720433</v>
      </c>
      <c r="I142" s="32" t="n">
        <f aca="false">H142-I141</f>
        <v>5639664.77286882</v>
      </c>
      <c r="J142" s="32" t="n">
        <f aca="false">I142-J141</f>
        <v>4935883.98208473</v>
      </c>
      <c r="K142" s="32" t="n">
        <f aca="false">J142-K141</f>
        <v>4151168.40036046</v>
      </c>
      <c r="L142" s="32" t="n">
        <f aca="false">K142-L141</f>
        <v>3276210.52673791</v>
      </c>
      <c r="M142" s="32" t="n">
        <f aca="false">L142-M141</f>
        <v>2300632.49764876</v>
      </c>
      <c r="N142" s="32" t="n">
        <f aca="false">M142-N141</f>
        <v>1212862.99521436</v>
      </c>
      <c r="O142" s="32" t="n">
        <f aca="false">N142-O141</f>
        <v>0</v>
      </c>
      <c r="P142" s="32" t="n">
        <f aca="false">O142-P141</f>
        <v>0</v>
      </c>
      <c r="Q142" s="32" t="n">
        <f aca="false">P142-Q141</f>
        <v>0</v>
      </c>
      <c r="R142" s="32" t="n">
        <f aca="false">Q142-R141</f>
        <v>0</v>
      </c>
      <c r="S142" s="32" t="n">
        <f aca="false">R142-S141</f>
        <v>0</v>
      </c>
      <c r="T142" s="32" t="n">
        <f aca="false">S142-T141</f>
        <v>0</v>
      </c>
      <c r="U142" s="32" t="n">
        <f aca="false">T142-U141</f>
        <v>0</v>
      </c>
      <c r="V142" s="32" t="n">
        <f aca="false">U142-V141</f>
        <v>0</v>
      </c>
      <c r="W142" s="32" t="n">
        <f aca="false">V142-W141</f>
        <v>0</v>
      </c>
      <c r="X142" s="32" t="n">
        <f aca="false">W142-X141</f>
        <v>0</v>
      </c>
      <c r="Y142" s="32" t="n">
        <f aca="false">X142-Y141</f>
        <v>0</v>
      </c>
      <c r="Z142" s="32" t="n">
        <f aca="false">Y142-Z141</f>
        <v>0</v>
      </c>
      <c r="AA142" s="32" t="n">
        <f aca="false">Z142-AA141</f>
        <v>0</v>
      </c>
      <c r="AB142" s="32" t="n">
        <f aca="false">AA142-AB141</f>
        <v>0</v>
      </c>
      <c r="AC142" s="32" t="n">
        <f aca="false">AB142-AC141</f>
        <v>0</v>
      </c>
      <c r="AD142" s="32" t="n">
        <f aca="false">AC142-AD141</f>
        <v>0</v>
      </c>
    </row>
    <row r="143" customFormat="false" ht="15" hidden="false" customHeight="false" outlineLevel="1" collapsed="false">
      <c r="B143" s="4" t="s">
        <v>277</v>
      </c>
      <c r="C143" s="24" t="s">
        <v>120</v>
      </c>
      <c r="F143" s="32" t="n">
        <f aca="false">Calculations!F$20*$D$132</f>
        <v>12000000</v>
      </c>
      <c r="G143" s="32" t="n">
        <f aca="false">Calculations!G$20*$D$132</f>
        <v>0</v>
      </c>
      <c r="H143" s="32" t="n">
        <f aca="false">Calculations!H$20*$D$132</f>
        <v>0</v>
      </c>
      <c r="I143" s="32" t="n">
        <f aca="false">Calculations!I$20*$D$132</f>
        <v>0</v>
      </c>
      <c r="J143" s="32" t="n">
        <f aca="false">Calculations!J$20*$D$132</f>
        <v>0</v>
      </c>
      <c r="K143" s="32" t="n">
        <f aca="false">Calculations!K$20*$D$132</f>
        <v>0</v>
      </c>
      <c r="L143" s="32" t="n">
        <f aca="false">Calculations!L$20*$D$132</f>
        <v>0</v>
      </c>
      <c r="M143" s="32" t="n">
        <f aca="false">Calculations!M$20*$D$132</f>
        <v>0</v>
      </c>
      <c r="N143" s="32" t="n">
        <f aca="false">Calculations!N$20*$D$132</f>
        <v>0</v>
      </c>
      <c r="O143" s="32" t="n">
        <f aca="false">Calculations!O$20*$D$132</f>
        <v>0</v>
      </c>
      <c r="P143" s="32" t="n">
        <f aca="false">Calculations!P$20*$D$132</f>
        <v>0</v>
      </c>
      <c r="Q143" s="32" t="n">
        <f aca="false">Calculations!Q$20*$D$132</f>
        <v>0</v>
      </c>
      <c r="R143" s="32" t="n">
        <f aca="false">Calculations!R$20*$D$132</f>
        <v>0</v>
      </c>
      <c r="S143" s="32" t="n">
        <f aca="false">Calculations!S$20*$D$132</f>
        <v>0</v>
      </c>
      <c r="T143" s="32" t="n">
        <f aca="false">Calculations!T$20*$D$132</f>
        <v>0</v>
      </c>
      <c r="U143" s="32" t="n">
        <f aca="false">Calculations!U$20*$D$132</f>
        <v>0</v>
      </c>
      <c r="V143" s="32" t="n">
        <f aca="false">Calculations!V$20*$D$132</f>
        <v>0</v>
      </c>
      <c r="W143" s="32" t="n">
        <f aca="false">Calculations!W$20*$D$132</f>
        <v>0</v>
      </c>
      <c r="X143" s="32" t="n">
        <f aca="false">Calculations!X$20*$D$132</f>
        <v>0</v>
      </c>
      <c r="Y143" s="32" t="n">
        <f aca="false">Calculations!Y$20*$D$132</f>
        <v>0</v>
      </c>
      <c r="Z143" s="32" t="n">
        <f aca="false">Calculations!Z$20*$D$132</f>
        <v>0</v>
      </c>
      <c r="AA143" s="32" t="n">
        <f aca="false">Calculations!AA$20*$D$132</f>
        <v>0</v>
      </c>
      <c r="AB143" s="32" t="n">
        <f aca="false">Calculations!AB$20*$D$132</f>
        <v>0</v>
      </c>
      <c r="AC143" s="32" t="n">
        <f aca="false">Calculations!AC$20*$D$132</f>
        <v>0</v>
      </c>
      <c r="AD143" s="32" t="n">
        <f aca="false">Calculations!AD$20*$D$132</f>
        <v>0</v>
      </c>
    </row>
    <row r="144" customFormat="false" ht="15" hidden="false" customHeight="false" outlineLevel="1" collapsed="false">
      <c r="B144" s="4" t="s">
        <v>169</v>
      </c>
      <c r="C144" s="24" t="s">
        <v>120</v>
      </c>
      <c r="F144" s="32" t="n">
        <f aca="false">F138-F139-F143</f>
        <v>-11179500</v>
      </c>
      <c r="G144" s="32" t="n">
        <f aca="false">G138-G139-G143</f>
        <v>958217.545061361</v>
      </c>
      <c r="H144" s="32" t="n">
        <f aca="false">H138-H139-H143</f>
        <v>1106198.70349072</v>
      </c>
      <c r="I144" s="32" t="n">
        <f aca="false">I138-I139-I143</f>
        <v>1265346.78930837</v>
      </c>
      <c r="J144" s="32" t="n">
        <f aca="false">J138-J139-J143</f>
        <v>1436655.23179027</v>
      </c>
      <c r="K144" s="32" t="n">
        <f aca="false">K138-K139-K143</f>
        <v>1621217.25461739</v>
      </c>
      <c r="L144" s="32" t="n">
        <f aca="false">L138-L139-L143</f>
        <v>1820236.63413024</v>
      </c>
      <c r="M144" s="32" t="n">
        <f aca="false">M138-M139-M143</f>
        <v>2035039.65909616</v>
      </c>
      <c r="N144" s="32" t="n">
        <f aca="false">N138-N139-N143</f>
        <v>2267088.42838988</v>
      </c>
      <c r="O144" s="32" t="n">
        <f aca="false">O138-O139-O143</f>
        <v>2517995.6385858</v>
      </c>
      <c r="P144" s="32" t="n">
        <f aca="false">P138-P139-P143</f>
        <v>2789541.0308477</v>
      </c>
      <c r="Q144" s="32" t="n">
        <f aca="false">Q138-Q139-Q143</f>
        <v>2928170.32832257</v>
      </c>
      <c r="R144" s="32" t="n">
        <f aca="false">R138-R139-R143</f>
        <v>3073688.93610019</v>
      </c>
      <c r="S144" s="32" t="n">
        <f aca="false">S138-S139-S143</f>
        <v>3226439.22355963</v>
      </c>
      <c r="T144" s="32" t="n">
        <f aca="false">T138-T139-T143</f>
        <v>3386780.57431859</v>
      </c>
      <c r="U144" s="32" t="n">
        <f aca="false">U138-U139-U143</f>
        <v>3555090.23176241</v>
      </c>
      <c r="V144" s="32" t="n">
        <f aca="false">V138-V139-V143</f>
        <v>3731764.18659191</v>
      </c>
      <c r="W144" s="32" t="n">
        <f aca="false">W138-W139-W143</f>
        <v>3917218.10847807</v>
      </c>
      <c r="X144" s="32" t="n">
        <f aca="false">X138-X139-X143</f>
        <v>4111888.32401541</v>
      </c>
      <c r="Y144" s="32" t="n">
        <f aca="false">Y138-Y139-Y143</f>
        <v>4316232.84327501</v>
      </c>
      <c r="Z144" s="32" t="n">
        <f aca="false">Z138-Z139-Z143</f>
        <v>0</v>
      </c>
      <c r="AA144" s="32" t="n">
        <f aca="false">AA138-AA139-AA143</f>
        <v>0</v>
      </c>
      <c r="AB144" s="32" t="n">
        <f aca="false">AB138-AB139-AB143</f>
        <v>0</v>
      </c>
      <c r="AC144" s="32" t="n">
        <f aca="false">AC138-AC139-AC143</f>
        <v>0</v>
      </c>
      <c r="AD144" s="32" t="n">
        <f aca="false">AD138-AD139-AD143</f>
        <v>0</v>
      </c>
    </row>
    <row r="145" customFormat="false" ht="15" hidden="false" customHeight="false" outlineLevel="1" collapsed="false">
      <c r="B145" s="4" t="s">
        <v>172</v>
      </c>
      <c r="C145" s="24" t="s">
        <v>120</v>
      </c>
      <c r="F145" s="32" t="n">
        <f aca="false">MAX(0,E145-F144)</f>
        <v>11179500</v>
      </c>
      <c r="G145" s="32" t="n">
        <f aca="false">MAX(0,F145-G144)</f>
        <v>10221282.4549386</v>
      </c>
      <c r="H145" s="32" t="n">
        <f aca="false">MAX(0,G145-H144)</f>
        <v>9115083.75144792</v>
      </c>
      <c r="I145" s="32" t="n">
        <f aca="false">MAX(0,H145-I144)</f>
        <v>7849736.96213956</v>
      </c>
      <c r="J145" s="32" t="n">
        <f aca="false">MAX(0,I145-J144)</f>
        <v>6413081.73034929</v>
      </c>
      <c r="K145" s="32" t="n">
        <f aca="false">MAX(0,J145-K144)</f>
        <v>4791864.4757319</v>
      </c>
      <c r="L145" s="32" t="n">
        <f aca="false">MAX(0,K145-L144)</f>
        <v>2971627.84160166</v>
      </c>
      <c r="M145" s="32" t="n">
        <f aca="false">MAX(0,L145-M144)</f>
        <v>936588.1825055</v>
      </c>
      <c r="N145" s="32" t="n">
        <f aca="false">MAX(0,M145-N144)</f>
        <v>0</v>
      </c>
      <c r="O145" s="32" t="n">
        <f aca="false">MAX(0,N145-O144)</f>
        <v>0</v>
      </c>
      <c r="P145" s="32" t="n">
        <f aca="false">MAX(0,O145-P144)</f>
        <v>0</v>
      </c>
      <c r="Q145" s="32" t="n">
        <f aca="false">MAX(0,P145-Q144)</f>
        <v>0</v>
      </c>
      <c r="R145" s="32" t="n">
        <f aca="false">MAX(0,Q145-R144)</f>
        <v>0</v>
      </c>
      <c r="S145" s="32" t="n">
        <f aca="false">MAX(0,R145-S144)</f>
        <v>0</v>
      </c>
      <c r="T145" s="32" t="n">
        <f aca="false">MAX(0,S145-T144)</f>
        <v>0</v>
      </c>
      <c r="U145" s="32" t="n">
        <f aca="false">MAX(0,T145-U144)</f>
        <v>0</v>
      </c>
      <c r="V145" s="32" t="n">
        <f aca="false">MAX(0,U145-V144)</f>
        <v>0</v>
      </c>
      <c r="W145" s="32" t="n">
        <f aca="false">MAX(0,V145-W144)</f>
        <v>0</v>
      </c>
      <c r="X145" s="32" t="n">
        <f aca="false">MAX(0,W145-X144)</f>
        <v>0</v>
      </c>
      <c r="Y145" s="32" t="n">
        <f aca="false">MAX(0,X145-Y144)</f>
        <v>0</v>
      </c>
      <c r="Z145" s="32" t="n">
        <f aca="false">MAX(0,Y145-Z144)</f>
        <v>0</v>
      </c>
      <c r="AA145" s="32" t="n">
        <f aca="false">MAX(0,Z145-AA144)</f>
        <v>0</v>
      </c>
      <c r="AB145" s="32" t="n">
        <f aca="false">MAX(0,AA145-AB144)</f>
        <v>0</v>
      </c>
      <c r="AC145" s="32" t="n">
        <f aca="false">MAX(0,AB145-AC144)</f>
        <v>0</v>
      </c>
      <c r="AD145" s="32" t="n">
        <f aca="false">MAX(0,AC145-AD144)</f>
        <v>0</v>
      </c>
    </row>
    <row r="146" customFormat="false" ht="15" hidden="false" customHeight="false" outlineLevel="1" collapsed="false">
      <c r="B146" s="4" t="s">
        <v>173</v>
      </c>
      <c r="C146" s="24" t="s">
        <v>120</v>
      </c>
      <c r="F146" s="32" t="n">
        <f aca="false">Tax_Rate*MAX(0,F144-E145)</f>
        <v>0</v>
      </c>
      <c r="G146" s="32" t="n">
        <f aca="false">Tax_Rate*MAX(0,G144-F145)</f>
        <v>0</v>
      </c>
      <c r="H146" s="32" t="n">
        <f aca="false">Tax_Rate*MAX(0,H144-G145)</f>
        <v>0</v>
      </c>
      <c r="I146" s="32" t="n">
        <f aca="false">Tax_Rate*MAX(0,I144-H145)</f>
        <v>0</v>
      </c>
      <c r="J146" s="32" t="n">
        <f aca="false">Tax_Rate*MAX(0,J144-I145)</f>
        <v>0</v>
      </c>
      <c r="K146" s="32" t="n">
        <f aca="false">Tax_Rate*MAX(0,K144-J145)</f>
        <v>0</v>
      </c>
      <c r="L146" s="32" t="n">
        <f aca="false">Tax_Rate*MAX(0,L144-K145)</f>
        <v>0</v>
      </c>
      <c r="M146" s="32" t="n">
        <f aca="false">Tax_Rate*MAX(0,M144-L145)</f>
        <v>0</v>
      </c>
      <c r="N146" s="32" t="n">
        <f aca="false">Tax_Rate*MAX(0,N144-M145)</f>
        <v>359235.066388783</v>
      </c>
      <c r="O146" s="32" t="n">
        <f aca="false">Tax_Rate*MAX(0,O144-N145)</f>
        <v>679858.822418166</v>
      </c>
      <c r="P146" s="32" t="n">
        <f aca="false">Tax_Rate*MAX(0,P144-O145)</f>
        <v>753176.078328878</v>
      </c>
      <c r="Q146" s="32" t="n">
        <f aca="false">Tax_Rate*MAX(0,Q144-P145)</f>
        <v>790605.988647095</v>
      </c>
      <c r="R146" s="32" t="n">
        <f aca="false">Tax_Rate*MAX(0,R144-Q145)</f>
        <v>829896.01274705</v>
      </c>
      <c r="S146" s="32" t="n">
        <f aca="false">Tax_Rate*MAX(0,S144-R145)</f>
        <v>871138.5903611</v>
      </c>
      <c r="T146" s="32" t="n">
        <f aca="false">Tax_Rate*MAX(0,T144-S145)</f>
        <v>914430.755066018</v>
      </c>
      <c r="U146" s="32" t="n">
        <f aca="false">Tax_Rate*MAX(0,U144-T145)</f>
        <v>959874.36257585</v>
      </c>
      <c r="V146" s="32" t="n">
        <f aca="false">Tax_Rate*MAX(0,V144-U145)</f>
        <v>1007576.33037982</v>
      </c>
      <c r="W146" s="32" t="n">
        <f aca="false">Tax_Rate*MAX(0,W144-V145)</f>
        <v>1057648.88928908</v>
      </c>
      <c r="X146" s="32" t="n">
        <f aca="false">Tax_Rate*MAX(0,X144-W145)</f>
        <v>1110209.84748416</v>
      </c>
      <c r="Y146" s="32" t="n">
        <f aca="false">Tax_Rate*MAX(0,Y144-X145)</f>
        <v>1165382.86768425</v>
      </c>
      <c r="Z146" s="32" t="n">
        <f aca="false">Tax_Rate*MAX(0,Z144-Y145)</f>
        <v>0</v>
      </c>
      <c r="AA146" s="32" t="n">
        <f aca="false">Tax_Rate*MAX(0,AA144-Z145)</f>
        <v>0</v>
      </c>
      <c r="AB146" s="32" t="n">
        <f aca="false">Tax_Rate*MAX(0,AB144-AA145)</f>
        <v>0</v>
      </c>
      <c r="AC146" s="32" t="n">
        <f aca="false">Tax_Rate*MAX(0,AC144-AB145)</f>
        <v>0</v>
      </c>
      <c r="AD146" s="32" t="n">
        <f aca="false">Tax_Rate*MAX(0,AD144-AC145)</f>
        <v>0</v>
      </c>
    </row>
    <row r="147" customFormat="false" ht="15" hidden="false" customHeight="false" outlineLevel="1" collapsed="false">
      <c r="B147" s="4" t="s">
        <v>176</v>
      </c>
      <c r="C147" s="24" t="s">
        <v>120</v>
      </c>
      <c r="F147" s="32" t="n">
        <f aca="false">F138-F146</f>
        <v>1717500</v>
      </c>
      <c r="G147" s="32" t="n">
        <f aca="false">G138-G146</f>
        <v>1802853.1875</v>
      </c>
      <c r="H147" s="32" t="n">
        <f aca="false">H138-H146</f>
        <v>1892448.08724844</v>
      </c>
      <c r="I147" s="32" t="n">
        <f aca="false">I138-I146</f>
        <v>1986495.49463687</v>
      </c>
      <c r="J147" s="32" t="n">
        <f aca="false">J138-J146</f>
        <v>2085216.68067018</v>
      </c>
      <c r="K147" s="32" t="n">
        <f aca="false">K138-K146</f>
        <v>2188843.91255713</v>
      </c>
      <c r="L147" s="32" t="n">
        <f aca="false">L138-L146</f>
        <v>2297621.00017169</v>
      </c>
      <c r="M147" s="32" t="n">
        <f aca="false">M138-M146</f>
        <v>2411803.86967102</v>
      </c>
      <c r="N147" s="32" t="n">
        <f aca="false">N138-N146</f>
        <v>2172426.09923071</v>
      </c>
      <c r="O147" s="32" t="n">
        <f aca="false">O138-O146</f>
        <v>1977616.06061728</v>
      </c>
      <c r="P147" s="32" t="n">
        <f aca="false">P138-P146</f>
        <v>2036364.95251882</v>
      </c>
      <c r="Q147" s="32" t="n">
        <f aca="false">Q138-Q146</f>
        <v>2137564.33967548</v>
      </c>
      <c r="R147" s="32" t="n">
        <f aca="false">R138-R146</f>
        <v>2243792.92335314</v>
      </c>
      <c r="S147" s="32" t="n">
        <f aca="false">S138-S146</f>
        <v>2355300.63319853</v>
      </c>
      <c r="T147" s="32" t="n">
        <f aca="false">T138-T146</f>
        <v>2472349.81925257</v>
      </c>
      <c r="U147" s="32" t="n">
        <f aca="false">U138-U146</f>
        <v>2595215.86918656</v>
      </c>
      <c r="V147" s="32" t="n">
        <f aca="false">V138-V146</f>
        <v>2724187.85621209</v>
      </c>
      <c r="W147" s="32" t="n">
        <f aca="false">W138-W146</f>
        <v>2859569.21918899</v>
      </c>
      <c r="X147" s="32" t="n">
        <f aca="false">X138-X146</f>
        <v>3001678.47653125</v>
      </c>
      <c r="Y147" s="32" t="n">
        <f aca="false">Y138-Y146</f>
        <v>3150849.97559075</v>
      </c>
      <c r="Z147" s="32" t="n">
        <f aca="false">Z138-Z146</f>
        <v>0</v>
      </c>
      <c r="AA147" s="32" t="n">
        <f aca="false">AA138-AA146</f>
        <v>0</v>
      </c>
      <c r="AB147" s="32" t="n">
        <f aca="false">AB138-AB146</f>
        <v>0</v>
      </c>
      <c r="AC147" s="32" t="n">
        <f aca="false">AC138-AC146</f>
        <v>0</v>
      </c>
      <c r="AD147" s="32" t="n">
        <f aca="false">AD138-AD146</f>
        <v>0</v>
      </c>
    </row>
    <row r="148" customFormat="false" ht="15" hidden="false" customHeight="false" outlineLevel="1" collapsed="false">
      <c r="B148" s="4" t="s">
        <v>278</v>
      </c>
      <c r="C148" s="24" t="s">
        <v>111</v>
      </c>
      <c r="F148" s="62" t="n">
        <f aca="false">IF(AND(Calculations!F$7=1,F140&gt;0),F147/F140,"")</f>
        <v>1.27001874941562</v>
      </c>
      <c r="G148" s="62" t="n">
        <f aca="false">IF(AND(Calculations!G$7=1,G140&gt;0),G147/G140,"")</f>
        <v>1.33313382856985</v>
      </c>
      <c r="H148" s="62" t="n">
        <f aca="false">IF(AND(Calculations!H$7=1,H140&gt;0),H147/H140,"")</f>
        <v>1.39938547487699</v>
      </c>
      <c r="I148" s="62" t="n">
        <f aca="false">IF(AND(Calculations!I$7=1,I140&gt;0),I147/I140,"")</f>
        <v>1.46892956263084</v>
      </c>
      <c r="J148" s="62" t="n">
        <f aca="false">IF(AND(Calculations!J$7=1,J140&gt;0),J147/J140,"")</f>
        <v>1.54192971239903</v>
      </c>
      <c r="K148" s="62" t="n">
        <f aca="false">IF(AND(Calculations!K$7=1,K140&gt;0),K147/K140,"")</f>
        <v>1.61855767597776</v>
      </c>
      <c r="L148" s="62" t="n">
        <f aca="false">IF(AND(Calculations!L$7=1,L140&gt;0),L147/L140,"")</f>
        <v>1.69899374047692</v>
      </c>
      <c r="M148" s="62" t="n">
        <f aca="false">IF(AND(Calculations!M$7=1,M140&gt;0),M147/M140,"")</f>
        <v>1.78342715248637</v>
      </c>
      <c r="N148" s="62" t="n">
        <f aca="false">IF(AND(Calculations!N$7=1,N140&gt;0),N147/N140,"")</f>
        <v>1.60641739606569</v>
      </c>
      <c r="O148" s="62" t="n">
        <f aca="false">IF(AND(Calculations!O$7=1,O140&gt;0),O147/O140,"")</f>
        <v>1.46236359599965</v>
      </c>
      <c r="P148" s="62" t="str">
        <f aca="false">IF(AND(Calculations!P$7=1,P140&gt;0),P147/P140,"")</f>
        <v/>
      </c>
      <c r="Q148" s="62" t="str">
        <f aca="false">IF(AND(Calculations!Q$7=1,Q140&gt;0),Q147/Q140,"")</f>
        <v/>
      </c>
      <c r="R148" s="62" t="str">
        <f aca="false">IF(AND(Calculations!R$7=1,R140&gt;0),R147/R140,"")</f>
        <v/>
      </c>
      <c r="S148" s="62" t="str">
        <f aca="false">IF(AND(Calculations!S$7=1,S140&gt;0),S147/S140,"")</f>
        <v/>
      </c>
      <c r="T148" s="62" t="str">
        <f aca="false">IF(AND(Calculations!T$7=1,T140&gt;0),T147/T140,"")</f>
        <v/>
      </c>
      <c r="U148" s="62" t="str">
        <f aca="false">IF(AND(Calculations!U$7=1,U140&gt;0),U147/U140,"")</f>
        <v/>
      </c>
      <c r="V148" s="62" t="str">
        <f aca="false">IF(AND(Calculations!V$7=1,V140&gt;0),V147/V140,"")</f>
        <v/>
      </c>
      <c r="W148" s="62" t="str">
        <f aca="false">IF(AND(Calculations!W$7=1,W140&gt;0),W147/W140,"")</f>
        <v/>
      </c>
      <c r="X148" s="62" t="str">
        <f aca="false">IF(AND(Calculations!X$7=1,X140&gt;0),X147/X140,"")</f>
        <v/>
      </c>
      <c r="Y148" s="62" t="str">
        <f aca="false">IF(AND(Calculations!Y$7=1,Y140&gt;0),Y147/Y140,"")</f>
        <v/>
      </c>
      <c r="Z148" s="62" t="str">
        <f aca="false">IF(AND(Calculations!Z$7=1,Z140&gt;0),Z147/Z140,"")</f>
        <v/>
      </c>
      <c r="AA148" s="62" t="str">
        <f aca="false">IF(AND(Calculations!AA$7=1,AA140&gt;0),AA147/AA140,"")</f>
        <v/>
      </c>
      <c r="AB148" s="62" t="str">
        <f aca="false">IF(AND(Calculations!AB$7=1,AB140&gt;0),AB147/AB140,"")</f>
        <v/>
      </c>
      <c r="AC148" s="62" t="str">
        <f aca="false">IF(AND(Calculations!AC$7=1,AC140&gt;0),AC147/AC140,"")</f>
        <v/>
      </c>
      <c r="AD148" s="62" t="str">
        <f aca="false">IF(AND(Calculations!AD$7=1,AD140&gt;0),AD147/AD140,"")</f>
        <v/>
      </c>
    </row>
    <row r="149" customFormat="false" ht="15" hidden="false" customHeight="false" outlineLevel="1" collapsed="false">
      <c r="B149" s="4" t="s">
        <v>182</v>
      </c>
      <c r="C149" s="24" t="s">
        <v>120</v>
      </c>
      <c r="E149" s="32" t="n">
        <f aca="false">-($D$133-$D$134)</f>
        <v>-4200000</v>
      </c>
      <c r="F149" s="32" t="n">
        <f aca="false">F147-F140</f>
        <v>365157.760335991</v>
      </c>
      <c r="G149" s="32" t="n">
        <f aca="false">G147-G140</f>
        <v>450510.947835991</v>
      </c>
      <c r="H149" s="32" t="n">
        <f aca="false">H147-H140</f>
        <v>540105.847584428</v>
      </c>
      <c r="I149" s="32" t="n">
        <f aca="false">I147-I140</f>
        <v>634153.254972856</v>
      </c>
      <c r="J149" s="32" t="n">
        <f aca="false">J147-J140</f>
        <v>732874.441006175</v>
      </c>
      <c r="K149" s="32" t="n">
        <f aca="false">K147-K140</f>
        <v>836501.672893124</v>
      </c>
      <c r="L149" s="32" t="n">
        <f aca="false">L147-L140</f>
        <v>945278.760507684</v>
      </c>
      <c r="M149" s="32" t="n">
        <f aca="false">M147-M140</f>
        <v>1059461.63000701</v>
      </c>
      <c r="N149" s="32" t="n">
        <f aca="false">N147-N140</f>
        <v>820083.859566697</v>
      </c>
      <c r="O149" s="32" t="n">
        <f aca="false">O147-O140</f>
        <v>625273.820953275</v>
      </c>
      <c r="P149" s="32" t="n">
        <f aca="false">P147-P140</f>
        <v>2036364.95251882</v>
      </c>
      <c r="Q149" s="32" t="n">
        <f aca="false">Q147-Q140</f>
        <v>2137564.33967548</v>
      </c>
      <c r="R149" s="32" t="n">
        <f aca="false">R147-R140</f>
        <v>2243792.92335314</v>
      </c>
      <c r="S149" s="32" t="n">
        <f aca="false">S147-S140</f>
        <v>2355300.63319853</v>
      </c>
      <c r="T149" s="32" t="n">
        <f aca="false">T147-T140</f>
        <v>2472349.81925257</v>
      </c>
      <c r="U149" s="32" t="n">
        <f aca="false">U147-U140</f>
        <v>2595215.86918656</v>
      </c>
      <c r="V149" s="32" t="n">
        <f aca="false">V147-V140</f>
        <v>2724187.85621209</v>
      </c>
      <c r="W149" s="32" t="n">
        <f aca="false">W147-W140</f>
        <v>2859569.21918899</v>
      </c>
      <c r="X149" s="32" t="n">
        <f aca="false">X147-X140</f>
        <v>3001678.47653125</v>
      </c>
      <c r="Y149" s="32" t="n">
        <f aca="false">Y147-Y140</f>
        <v>3150849.97559075</v>
      </c>
      <c r="Z149" s="32" t="n">
        <f aca="false">Z147-Z140</f>
        <v>0</v>
      </c>
      <c r="AA149" s="32" t="n">
        <f aca="false">AA147-AA140</f>
        <v>0</v>
      </c>
      <c r="AB149" s="32" t="n">
        <f aca="false">AB147-AB140</f>
        <v>0</v>
      </c>
      <c r="AC149" s="32" t="n">
        <f aca="false">AC147-AC140</f>
        <v>0</v>
      </c>
      <c r="AD149" s="32" t="n">
        <f aca="false">AD147-AD140</f>
        <v>0</v>
      </c>
    </row>
    <row r="150" customFormat="false" ht="15" hidden="false" customHeight="false" outlineLevel="1" collapsed="false">
      <c r="B150" s="3" t="s">
        <v>208</v>
      </c>
      <c r="C150" s="24" t="s">
        <v>97</v>
      </c>
      <c r="D150" s="76" t="n">
        <f aca="false">IRR(E149:AD149)</f>
        <v>0.199815256917515</v>
      </c>
    </row>
    <row r="151" customFormat="false" ht="15" hidden="false" customHeight="false" outlineLevel="1" collapsed="false">
      <c r="B151" s="3" t="s">
        <v>210</v>
      </c>
      <c r="C151" s="24" t="s">
        <v>111</v>
      </c>
      <c r="D151" s="49" t="n">
        <f aca="false">MIN(F148:AD148)</f>
        <v>1.27001874941562</v>
      </c>
    </row>
    <row r="152" customFormat="false" ht="15" hidden="false" customHeight="false" outlineLevel="1" collapsed="false">
      <c r="B152" s="3" t="s">
        <v>262</v>
      </c>
      <c r="C152" s="24" t="s">
        <v>120</v>
      </c>
      <c r="D152" s="44" t="n">
        <f aca="false">E149+NPV(Equity_Discount_Rate,F149:AD149)</f>
        <v>1497251.12286043</v>
      </c>
    </row>
    <row r="154" customFormat="false" ht="15" hidden="false" customHeight="false" outlineLevel="0" collapsed="false">
      <c r="B154" s="21" t="s">
        <v>283</v>
      </c>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row>
    <row r="155" customFormat="false" ht="15" hidden="false" customHeight="false" outlineLevel="1" collapsed="false">
      <c r="B155" s="4" t="s">
        <v>258</v>
      </c>
      <c r="C155" s="24" t="s">
        <v>111</v>
      </c>
      <c r="D155" s="62" t="n">
        <f aca="false">1+Sens_Tariff_Flex</f>
        <v>1.1</v>
      </c>
    </row>
    <row r="156" customFormat="false" ht="15" hidden="false" customHeight="false" outlineLevel="1" collapsed="false">
      <c r="B156" s="4" t="s">
        <v>259</v>
      </c>
      <c r="C156" s="24" t="s">
        <v>111</v>
      </c>
      <c r="D156" s="62" t="n">
        <f aca="false">1</f>
        <v>1</v>
      </c>
    </row>
    <row r="157" customFormat="false" ht="15" hidden="false" customHeight="false" outlineLevel="1" collapsed="false">
      <c r="B157" s="4" t="s">
        <v>271</v>
      </c>
      <c r="C157" s="24" t="s">
        <v>120</v>
      </c>
      <c r="D157" s="32" t="n">
        <f aca="false">Capex_Total*D156</f>
        <v>12000000</v>
      </c>
    </row>
    <row r="158" customFormat="false" ht="15" hidden="false" customHeight="false" outlineLevel="1" collapsed="false">
      <c r="B158" s="4" t="s">
        <v>272</v>
      </c>
      <c r="C158" s="24" t="s">
        <v>120</v>
      </c>
      <c r="D158" s="32" t="n">
        <f aca="false">D157*Gearing</f>
        <v>7800000</v>
      </c>
    </row>
    <row r="159" customFormat="false" ht="15" hidden="false" customHeight="false" outlineLevel="1" collapsed="false">
      <c r="B159" s="4" t="s">
        <v>273</v>
      </c>
      <c r="C159" s="24" t="s">
        <v>120</v>
      </c>
      <c r="D159" s="32" t="n">
        <f aca="false">-PMT(Interest_Rate,Debt_Tenor,D158)</f>
        <v>1352342.23966401</v>
      </c>
    </row>
    <row r="160" customFormat="false" ht="15" hidden="false" customHeight="false" outlineLevel="1" collapsed="false">
      <c r="B160" s="4" t="s">
        <v>144</v>
      </c>
      <c r="C160" s="24"/>
      <c r="E160" s="75" t="n">
        <f aca="false">Calculations!E$5</f>
        <v>0</v>
      </c>
      <c r="F160" s="75" t="n">
        <f aca="false">Calculations!F$5</f>
        <v>1</v>
      </c>
      <c r="G160" s="75" t="n">
        <f aca="false">Calculations!G$5</f>
        <v>2</v>
      </c>
      <c r="H160" s="75" t="n">
        <f aca="false">Calculations!H$5</f>
        <v>3</v>
      </c>
      <c r="I160" s="75" t="n">
        <f aca="false">Calculations!I$5</f>
        <v>4</v>
      </c>
      <c r="J160" s="75" t="n">
        <f aca="false">Calculations!J$5</f>
        <v>5</v>
      </c>
      <c r="K160" s="75" t="n">
        <f aca="false">Calculations!K$5</f>
        <v>6</v>
      </c>
      <c r="L160" s="75" t="n">
        <f aca="false">Calculations!L$5</f>
        <v>7</v>
      </c>
      <c r="M160" s="75" t="n">
        <f aca="false">Calculations!M$5</f>
        <v>8</v>
      </c>
      <c r="N160" s="75" t="n">
        <f aca="false">Calculations!N$5</f>
        <v>9</v>
      </c>
      <c r="O160" s="75" t="n">
        <f aca="false">Calculations!O$5</f>
        <v>10</v>
      </c>
      <c r="P160" s="75" t="n">
        <f aca="false">Calculations!P$5</f>
        <v>11</v>
      </c>
      <c r="Q160" s="75" t="n">
        <f aca="false">Calculations!Q$5</f>
        <v>12</v>
      </c>
      <c r="R160" s="75" t="n">
        <f aca="false">Calculations!R$5</f>
        <v>13</v>
      </c>
      <c r="S160" s="75" t="n">
        <f aca="false">Calculations!S$5</f>
        <v>14</v>
      </c>
      <c r="T160" s="75" t="n">
        <f aca="false">Calculations!T$5</f>
        <v>15</v>
      </c>
      <c r="U160" s="75" t="n">
        <f aca="false">Calculations!U$5</f>
        <v>16</v>
      </c>
      <c r="V160" s="75" t="n">
        <f aca="false">Calculations!V$5</f>
        <v>17</v>
      </c>
      <c r="W160" s="75" t="n">
        <f aca="false">Calculations!W$5</f>
        <v>18</v>
      </c>
      <c r="X160" s="75" t="n">
        <f aca="false">Calculations!X$5</f>
        <v>19</v>
      </c>
      <c r="Y160" s="75" t="n">
        <f aca="false">Calculations!Y$5</f>
        <v>20</v>
      </c>
      <c r="Z160" s="75" t="n">
        <f aca="false">Calculations!Z$5</f>
        <v>21</v>
      </c>
      <c r="AA160" s="75" t="n">
        <f aca="false">Calculations!AA$5</f>
        <v>22</v>
      </c>
      <c r="AB160" s="75" t="n">
        <f aca="false">Calculations!AB$5</f>
        <v>23</v>
      </c>
      <c r="AC160" s="75" t="n">
        <f aca="false">Calculations!AC$5</f>
        <v>24</v>
      </c>
      <c r="AD160" s="75" t="n">
        <f aca="false">Calculations!AD$5</f>
        <v>25</v>
      </c>
    </row>
    <row r="161" customFormat="false" ht="15" hidden="false" customHeight="false" outlineLevel="1" collapsed="false">
      <c r="B161" s="4" t="s">
        <v>152</v>
      </c>
      <c r="C161" s="24" t="s">
        <v>120</v>
      </c>
      <c r="F161" s="32" t="n">
        <f aca="false">Calculations!F$12*$D$155</f>
        <v>2087250</v>
      </c>
      <c r="G161" s="32" t="n">
        <f aca="false">Calculations!G$12*$D$155</f>
        <v>2191038.50625</v>
      </c>
      <c r="H161" s="32" t="n">
        <f aca="false">Calculations!H$12*$D$155</f>
        <v>2299987.89597328</v>
      </c>
      <c r="I161" s="32" t="n">
        <f aca="false">Calculations!I$12*$D$155</f>
        <v>2414354.79410055</v>
      </c>
      <c r="J161" s="32" t="n">
        <f aca="false">Calculations!J$12*$D$155</f>
        <v>2534408.5862372</v>
      </c>
      <c r="K161" s="32" t="n">
        <f aca="false">Calculations!K$12*$D$155</f>
        <v>2660432.05318785</v>
      </c>
      <c r="L161" s="32" t="n">
        <f aca="false">Calculations!L$12*$D$155</f>
        <v>2792722.03703261</v>
      </c>
      <c r="M161" s="32" t="n">
        <f aca="false">Calculations!M$12*$D$155</f>
        <v>2931590.14032406</v>
      </c>
      <c r="N161" s="32" t="n">
        <f aca="false">Calculations!N$12*$D$155</f>
        <v>3077363.46005167</v>
      </c>
      <c r="O161" s="32" t="n">
        <f aca="false">Calculations!O$12*$D$155</f>
        <v>3230385.35810274</v>
      </c>
      <c r="P161" s="32" t="n">
        <f aca="false">Calculations!P$12*$D$155</f>
        <v>3391016.2700344</v>
      </c>
      <c r="Q161" s="32" t="n">
        <f aca="false">Calculations!Q$12*$D$155</f>
        <v>3559634.55406186</v>
      </c>
      <c r="R161" s="32" t="n">
        <f aca="false">Calculations!R$12*$D$155</f>
        <v>3736637.38226259</v>
      </c>
      <c r="S161" s="32" t="n">
        <f aca="false">Calculations!S$12*$D$155</f>
        <v>3922441.67609559</v>
      </c>
      <c r="T161" s="32" t="n">
        <f aca="false">Calculations!T$12*$D$155</f>
        <v>4117485.08843945</v>
      </c>
      <c r="U161" s="32" t="n">
        <f aca="false">Calculations!U$12*$D$155</f>
        <v>4322227.0344621</v>
      </c>
      <c r="V161" s="32" t="n">
        <f aca="false">Calculations!V$12*$D$155</f>
        <v>4537149.77375072</v>
      </c>
      <c r="W161" s="32" t="n">
        <f aca="false">Calculations!W$12*$D$155</f>
        <v>4762759.54625048</v>
      </c>
      <c r="X161" s="32" t="n">
        <f aca="false">Calculations!X$12*$D$155</f>
        <v>4999587.76468779</v>
      </c>
      <c r="Y161" s="32" t="n">
        <f aca="false">Calculations!Y$12*$D$155</f>
        <v>5248192.26628688</v>
      </c>
      <c r="Z161" s="32" t="n">
        <f aca="false">Calculations!Z$12*$D$155</f>
        <v>0</v>
      </c>
      <c r="AA161" s="32" t="n">
        <f aca="false">Calculations!AA$12*$D$155</f>
        <v>0</v>
      </c>
      <c r="AB161" s="32" t="n">
        <f aca="false">Calculations!AB$12*$D$155</f>
        <v>0</v>
      </c>
      <c r="AC161" s="32" t="n">
        <f aca="false">Calculations!AC$12*$D$155</f>
        <v>0</v>
      </c>
      <c r="AD161" s="32" t="n">
        <f aca="false">Calculations!AD$12*$D$155</f>
        <v>0</v>
      </c>
    </row>
    <row r="162" customFormat="false" ht="15" hidden="false" customHeight="false" outlineLevel="1" collapsed="false">
      <c r="B162" s="4" t="s">
        <v>155</v>
      </c>
      <c r="C162" s="24" t="s">
        <v>120</v>
      </c>
      <c r="F162" s="32" t="n">
        <f aca="false">F161-Calculations!F$15</f>
        <v>1907250</v>
      </c>
      <c r="G162" s="32" t="n">
        <f aca="false">G161-Calculations!G$15</f>
        <v>2002038.50625</v>
      </c>
      <c r="H162" s="32" t="n">
        <f aca="false">H161-Calculations!H$15</f>
        <v>2101537.89597328</v>
      </c>
      <c r="I162" s="32" t="n">
        <f aca="false">I161-Calculations!I$15</f>
        <v>2205982.29410055</v>
      </c>
      <c r="J162" s="32" t="n">
        <f aca="false">J161-Calculations!J$15</f>
        <v>2315617.4612372</v>
      </c>
      <c r="K162" s="32" t="n">
        <f aca="false">K161-Calculations!K$15</f>
        <v>2430701.37193785</v>
      </c>
      <c r="L162" s="32" t="n">
        <f aca="false">L161-Calculations!L$15</f>
        <v>2551504.82172011</v>
      </c>
      <c r="M162" s="32" t="n">
        <f aca="false">M161-Calculations!M$15</f>
        <v>2678312.06424593</v>
      </c>
      <c r="N162" s="32" t="n">
        <f aca="false">N161-Calculations!N$15</f>
        <v>2811421.48016964</v>
      </c>
      <c r="O162" s="32" t="n">
        <f aca="false">O161-Calculations!O$15</f>
        <v>2951146.27922661</v>
      </c>
      <c r="P162" s="32" t="n">
        <f aca="false">P161-Calculations!P$15</f>
        <v>3097815.23721446</v>
      </c>
      <c r="Q162" s="32" t="n">
        <f aca="false">Q161-Calculations!Q$15</f>
        <v>3251773.46960092</v>
      </c>
      <c r="R162" s="32" t="n">
        <f aca="false">R161-Calculations!R$15</f>
        <v>3413383.2435786</v>
      </c>
      <c r="S162" s="32" t="n">
        <f aca="false">S161-Calculations!S$15</f>
        <v>3583024.83047741</v>
      </c>
      <c r="T162" s="32" t="n">
        <f aca="false">T161-Calculations!T$15</f>
        <v>3761097.40054035</v>
      </c>
      <c r="U162" s="32" t="n">
        <f aca="false">U161-Calculations!U$15</f>
        <v>3948019.96216805</v>
      </c>
      <c r="V162" s="32" t="n">
        <f aca="false">V161-Calculations!V$15</f>
        <v>4144232.34784198</v>
      </c>
      <c r="W162" s="32" t="n">
        <f aca="false">W161-Calculations!W$15</f>
        <v>4350196.24904629</v>
      </c>
      <c r="X162" s="32" t="n">
        <f aca="false">X161-Calculations!X$15</f>
        <v>4566396.30262339</v>
      </c>
      <c r="Y162" s="32" t="n">
        <f aca="false">Y161-Calculations!Y$15</f>
        <v>4793341.23111927</v>
      </c>
      <c r="Z162" s="32" t="n">
        <f aca="false">Z161-Calculations!Z$15</f>
        <v>0</v>
      </c>
      <c r="AA162" s="32" t="n">
        <f aca="false">AA161-Calculations!AA$15</f>
        <v>0</v>
      </c>
      <c r="AB162" s="32" t="n">
        <f aca="false">AB161-Calculations!AB$15</f>
        <v>0</v>
      </c>
      <c r="AC162" s="32" t="n">
        <f aca="false">AC161-Calculations!AC$15</f>
        <v>0</v>
      </c>
      <c r="AD162" s="32" t="n">
        <f aca="false">AD161-Calculations!AD$15</f>
        <v>0</v>
      </c>
    </row>
    <row r="163" customFormat="false" ht="15" hidden="false" customHeight="false" outlineLevel="1" collapsed="false">
      <c r="B163" s="4" t="s">
        <v>274</v>
      </c>
      <c r="C163" s="24" t="s">
        <v>120</v>
      </c>
      <c r="F163" s="32" t="n">
        <f aca="false">E166*Interest_Rate*Calculations!F$7</f>
        <v>897000</v>
      </c>
      <c r="G163" s="32" t="n">
        <f aca="false">F166*Interest_Rate*Calculations!G$7</f>
        <v>844635.642438639</v>
      </c>
      <c r="H163" s="32" t="n">
        <f aca="false">G166*Interest_Rate*Calculations!H$7</f>
        <v>786249.383757722</v>
      </c>
      <c r="I163" s="32" t="n">
        <f aca="false">H166*Interest_Rate*Calculations!I$7</f>
        <v>721148.705328499</v>
      </c>
      <c r="J163" s="32" t="n">
        <f aca="false">I166*Interest_Rate*Calculations!J$7</f>
        <v>648561.448879915</v>
      </c>
      <c r="K163" s="32" t="n">
        <f aca="false">J166*Interest_Rate*Calculations!K$7</f>
        <v>567626.657939744</v>
      </c>
      <c r="L163" s="32" t="n">
        <f aca="false">K166*Interest_Rate*Calculations!L$7</f>
        <v>477384.366041453</v>
      </c>
      <c r="M163" s="32" t="n">
        <f aca="false">L166*Interest_Rate*Calculations!M$7</f>
        <v>376764.210574859</v>
      </c>
      <c r="N163" s="32" t="n">
        <f aca="false">M166*Interest_Rate*Calculations!N$7</f>
        <v>264572.737229607</v>
      </c>
      <c r="O163" s="32" t="n">
        <f aca="false">N166*Interest_Rate*Calculations!O$7</f>
        <v>139479.244449651</v>
      </c>
      <c r="P163" s="32" t="n">
        <f aca="false">O166*Interest_Rate*Calculations!P$7</f>
        <v>0</v>
      </c>
      <c r="Q163" s="32" t="n">
        <f aca="false">P166*Interest_Rate*Calculations!Q$7</f>
        <v>0</v>
      </c>
      <c r="R163" s="32" t="n">
        <f aca="false">Q166*Interest_Rate*Calculations!R$7</f>
        <v>0</v>
      </c>
      <c r="S163" s="32" t="n">
        <f aca="false">R166*Interest_Rate*Calculations!S$7</f>
        <v>0</v>
      </c>
      <c r="T163" s="32" t="n">
        <f aca="false">S166*Interest_Rate*Calculations!T$7</f>
        <v>0</v>
      </c>
      <c r="U163" s="32" t="n">
        <f aca="false">T166*Interest_Rate*Calculations!U$7</f>
        <v>0</v>
      </c>
      <c r="V163" s="32" t="n">
        <f aca="false">U166*Interest_Rate*Calculations!V$7</f>
        <v>0</v>
      </c>
      <c r="W163" s="32" t="n">
        <f aca="false">V166*Interest_Rate*Calculations!W$7</f>
        <v>0</v>
      </c>
      <c r="X163" s="32" t="n">
        <f aca="false">W166*Interest_Rate*Calculations!X$7</f>
        <v>0</v>
      </c>
      <c r="Y163" s="32" t="n">
        <f aca="false">X166*Interest_Rate*Calculations!Y$7</f>
        <v>0</v>
      </c>
      <c r="Z163" s="32" t="n">
        <f aca="false">Y166*Interest_Rate*Calculations!Z$7</f>
        <v>0</v>
      </c>
      <c r="AA163" s="32" t="n">
        <f aca="false">Z166*Interest_Rate*Calculations!AA$7</f>
        <v>0</v>
      </c>
      <c r="AB163" s="32" t="n">
        <f aca="false">AA166*Interest_Rate*Calculations!AB$7</f>
        <v>0</v>
      </c>
      <c r="AC163" s="32" t="n">
        <f aca="false">AB166*Interest_Rate*Calculations!AC$7</f>
        <v>0</v>
      </c>
      <c r="AD163" s="32" t="n">
        <f aca="false">AC166*Interest_Rate*Calculations!AD$7</f>
        <v>0</v>
      </c>
    </row>
    <row r="164" customFormat="false" ht="15" hidden="false" customHeight="false" outlineLevel="1" collapsed="false">
      <c r="B164" s="4" t="s">
        <v>177</v>
      </c>
      <c r="C164" s="24" t="s">
        <v>120</v>
      </c>
      <c r="F164" s="32" t="n">
        <f aca="false">$D$159*Calculations!F$7</f>
        <v>1352342.23966401</v>
      </c>
      <c r="G164" s="32" t="n">
        <f aca="false">$D$159*Calculations!G$7</f>
        <v>1352342.23966401</v>
      </c>
      <c r="H164" s="32" t="n">
        <f aca="false">$D$159*Calculations!H$7</f>
        <v>1352342.23966401</v>
      </c>
      <c r="I164" s="32" t="n">
        <f aca="false">$D$159*Calculations!I$7</f>
        <v>1352342.23966401</v>
      </c>
      <c r="J164" s="32" t="n">
        <f aca="false">$D$159*Calculations!J$7</f>
        <v>1352342.23966401</v>
      </c>
      <c r="K164" s="32" t="n">
        <f aca="false">$D$159*Calculations!K$7</f>
        <v>1352342.23966401</v>
      </c>
      <c r="L164" s="32" t="n">
        <f aca="false">$D$159*Calculations!L$7</f>
        <v>1352342.23966401</v>
      </c>
      <c r="M164" s="32" t="n">
        <f aca="false">$D$159*Calculations!M$7</f>
        <v>1352342.23966401</v>
      </c>
      <c r="N164" s="32" t="n">
        <f aca="false">$D$159*Calculations!N$7</f>
        <v>1352342.23966401</v>
      </c>
      <c r="O164" s="32" t="n">
        <f aca="false">$D$159*Calculations!O$7</f>
        <v>1352342.23966401</v>
      </c>
      <c r="P164" s="32" t="n">
        <f aca="false">$D$159*Calculations!P$7</f>
        <v>0</v>
      </c>
      <c r="Q164" s="32" t="n">
        <f aca="false">$D$159*Calculations!Q$7</f>
        <v>0</v>
      </c>
      <c r="R164" s="32" t="n">
        <f aca="false">$D$159*Calculations!R$7</f>
        <v>0</v>
      </c>
      <c r="S164" s="32" t="n">
        <f aca="false">$D$159*Calculations!S$7</f>
        <v>0</v>
      </c>
      <c r="T164" s="32" t="n">
        <f aca="false">$D$159*Calculations!T$7</f>
        <v>0</v>
      </c>
      <c r="U164" s="32" t="n">
        <f aca="false">$D$159*Calculations!U$7</f>
        <v>0</v>
      </c>
      <c r="V164" s="32" t="n">
        <f aca="false">$D$159*Calculations!V$7</f>
        <v>0</v>
      </c>
      <c r="W164" s="32" t="n">
        <f aca="false">$D$159*Calculations!W$7</f>
        <v>0</v>
      </c>
      <c r="X164" s="32" t="n">
        <f aca="false">$D$159*Calculations!X$7</f>
        <v>0</v>
      </c>
      <c r="Y164" s="32" t="n">
        <f aca="false">$D$159*Calculations!Y$7</f>
        <v>0</v>
      </c>
      <c r="Z164" s="32" t="n">
        <f aca="false">$D$159*Calculations!Z$7</f>
        <v>0</v>
      </c>
      <c r="AA164" s="32" t="n">
        <f aca="false">$D$159*Calculations!AA$7</f>
        <v>0</v>
      </c>
      <c r="AB164" s="32" t="n">
        <f aca="false">$D$159*Calculations!AB$7</f>
        <v>0</v>
      </c>
      <c r="AC164" s="32" t="n">
        <f aca="false">$D$159*Calculations!AC$7</f>
        <v>0</v>
      </c>
      <c r="AD164" s="32" t="n">
        <f aca="false">$D$159*Calculations!AD$7</f>
        <v>0</v>
      </c>
    </row>
    <row r="165" customFormat="false" ht="15" hidden="false" customHeight="false" outlineLevel="1" collapsed="false">
      <c r="B165" s="4" t="s">
        <v>275</v>
      </c>
      <c r="C165" s="24" t="s">
        <v>120</v>
      </c>
      <c r="F165" s="32" t="n">
        <f aca="false">F164-F163</f>
        <v>455342.239664009</v>
      </c>
      <c r="G165" s="32" t="n">
        <f aca="false">G164-G163</f>
        <v>507706.59722537</v>
      </c>
      <c r="H165" s="32" t="n">
        <f aca="false">H164-H163</f>
        <v>566092.855906288</v>
      </c>
      <c r="I165" s="32" t="n">
        <f aca="false">I164-I163</f>
        <v>631193.534335511</v>
      </c>
      <c r="J165" s="32" t="n">
        <f aca="false">J164-J163</f>
        <v>703780.790784094</v>
      </c>
      <c r="K165" s="32" t="n">
        <f aca="false">K164-K163</f>
        <v>784715.581724265</v>
      </c>
      <c r="L165" s="32" t="n">
        <f aca="false">L164-L163</f>
        <v>874957.873622556</v>
      </c>
      <c r="M165" s="32" t="n">
        <f aca="false">M164-M163</f>
        <v>975578.02908915</v>
      </c>
      <c r="N165" s="32" t="n">
        <f aca="false">N164-N163</f>
        <v>1087769.5024344</v>
      </c>
      <c r="O165" s="32" t="n">
        <f aca="false">O164-O163</f>
        <v>1212862.99521436</v>
      </c>
      <c r="P165" s="32" t="n">
        <f aca="false">P164-P163</f>
        <v>0</v>
      </c>
      <c r="Q165" s="32" t="n">
        <f aca="false">Q164-Q163</f>
        <v>0</v>
      </c>
      <c r="R165" s="32" t="n">
        <f aca="false">R164-R163</f>
        <v>0</v>
      </c>
      <c r="S165" s="32" t="n">
        <f aca="false">S164-S163</f>
        <v>0</v>
      </c>
      <c r="T165" s="32" t="n">
        <f aca="false">T164-T163</f>
        <v>0</v>
      </c>
      <c r="U165" s="32" t="n">
        <f aca="false">U164-U163</f>
        <v>0</v>
      </c>
      <c r="V165" s="32" t="n">
        <f aca="false">V164-V163</f>
        <v>0</v>
      </c>
      <c r="W165" s="32" t="n">
        <f aca="false">W164-W163</f>
        <v>0</v>
      </c>
      <c r="X165" s="32" t="n">
        <f aca="false">X164-X163</f>
        <v>0</v>
      </c>
      <c r="Y165" s="32" t="n">
        <f aca="false">Y164-Y163</f>
        <v>0</v>
      </c>
      <c r="Z165" s="32" t="n">
        <f aca="false">Z164-Z163</f>
        <v>0</v>
      </c>
      <c r="AA165" s="32" t="n">
        <f aca="false">AA164-AA163</f>
        <v>0</v>
      </c>
      <c r="AB165" s="32" t="n">
        <f aca="false">AB164-AB163</f>
        <v>0</v>
      </c>
      <c r="AC165" s="32" t="n">
        <f aca="false">AC164-AC163</f>
        <v>0</v>
      </c>
      <c r="AD165" s="32" t="n">
        <f aca="false">AD164-AD163</f>
        <v>0</v>
      </c>
    </row>
    <row r="166" customFormat="false" ht="15" hidden="false" customHeight="false" outlineLevel="1" collapsed="false">
      <c r="B166" s="4" t="s">
        <v>276</v>
      </c>
      <c r="C166" s="24" t="s">
        <v>120</v>
      </c>
      <c r="E166" s="32" t="n">
        <f aca="false">$D$158</f>
        <v>7800000</v>
      </c>
      <c r="F166" s="32" t="n">
        <f aca="false">E166-F165</f>
        <v>7344657.76033599</v>
      </c>
      <c r="G166" s="32" t="n">
        <f aca="false">F166-G165</f>
        <v>6836951.16311062</v>
      </c>
      <c r="H166" s="32" t="n">
        <f aca="false">G166-H165</f>
        <v>6270858.30720433</v>
      </c>
      <c r="I166" s="32" t="n">
        <f aca="false">H166-I165</f>
        <v>5639664.77286882</v>
      </c>
      <c r="J166" s="32" t="n">
        <f aca="false">I166-J165</f>
        <v>4935883.98208473</v>
      </c>
      <c r="K166" s="32" t="n">
        <f aca="false">J166-K165</f>
        <v>4151168.40036046</v>
      </c>
      <c r="L166" s="32" t="n">
        <f aca="false">K166-L165</f>
        <v>3276210.52673791</v>
      </c>
      <c r="M166" s="32" t="n">
        <f aca="false">L166-M165</f>
        <v>2300632.49764876</v>
      </c>
      <c r="N166" s="32" t="n">
        <f aca="false">M166-N165</f>
        <v>1212862.99521436</v>
      </c>
      <c r="O166" s="32" t="n">
        <f aca="false">N166-O165</f>
        <v>0</v>
      </c>
      <c r="P166" s="32" t="n">
        <f aca="false">O166-P165</f>
        <v>0</v>
      </c>
      <c r="Q166" s="32" t="n">
        <f aca="false">P166-Q165</f>
        <v>0</v>
      </c>
      <c r="R166" s="32" t="n">
        <f aca="false">Q166-R165</f>
        <v>0</v>
      </c>
      <c r="S166" s="32" t="n">
        <f aca="false">R166-S165</f>
        <v>0</v>
      </c>
      <c r="T166" s="32" t="n">
        <f aca="false">S166-T165</f>
        <v>0</v>
      </c>
      <c r="U166" s="32" t="n">
        <f aca="false">T166-U165</f>
        <v>0</v>
      </c>
      <c r="V166" s="32" t="n">
        <f aca="false">U166-V165</f>
        <v>0</v>
      </c>
      <c r="W166" s="32" t="n">
        <f aca="false">V166-W165</f>
        <v>0</v>
      </c>
      <c r="X166" s="32" t="n">
        <f aca="false">W166-X165</f>
        <v>0</v>
      </c>
      <c r="Y166" s="32" t="n">
        <f aca="false">X166-Y165</f>
        <v>0</v>
      </c>
      <c r="Z166" s="32" t="n">
        <f aca="false">Y166-Z165</f>
        <v>0</v>
      </c>
      <c r="AA166" s="32" t="n">
        <f aca="false">Z166-AA165</f>
        <v>0</v>
      </c>
      <c r="AB166" s="32" t="n">
        <f aca="false">AA166-AB165</f>
        <v>0</v>
      </c>
      <c r="AC166" s="32" t="n">
        <f aca="false">AB166-AC165</f>
        <v>0</v>
      </c>
      <c r="AD166" s="32" t="n">
        <f aca="false">AC166-AD165</f>
        <v>0</v>
      </c>
    </row>
    <row r="167" customFormat="false" ht="15" hidden="false" customHeight="false" outlineLevel="1" collapsed="false">
      <c r="B167" s="4" t="s">
        <v>277</v>
      </c>
      <c r="C167" s="24" t="s">
        <v>120</v>
      </c>
      <c r="F167" s="32" t="n">
        <f aca="false">Calculations!F$20*$D$156</f>
        <v>12000000</v>
      </c>
      <c r="G167" s="32" t="n">
        <f aca="false">Calculations!G$20*$D$156</f>
        <v>0</v>
      </c>
      <c r="H167" s="32" t="n">
        <f aca="false">Calculations!H$20*$D$156</f>
        <v>0</v>
      </c>
      <c r="I167" s="32" t="n">
        <f aca="false">Calculations!I$20*$D$156</f>
        <v>0</v>
      </c>
      <c r="J167" s="32" t="n">
        <f aca="false">Calculations!J$20*$D$156</f>
        <v>0</v>
      </c>
      <c r="K167" s="32" t="n">
        <f aca="false">Calculations!K$20*$D$156</f>
        <v>0</v>
      </c>
      <c r="L167" s="32" t="n">
        <f aca="false">Calculations!L$20*$D$156</f>
        <v>0</v>
      </c>
      <c r="M167" s="32" t="n">
        <f aca="false">Calculations!M$20*$D$156</f>
        <v>0</v>
      </c>
      <c r="N167" s="32" t="n">
        <f aca="false">Calculations!N$20*$D$156</f>
        <v>0</v>
      </c>
      <c r="O167" s="32" t="n">
        <f aca="false">Calculations!O$20*$D$156</f>
        <v>0</v>
      </c>
      <c r="P167" s="32" t="n">
        <f aca="false">Calculations!P$20*$D$156</f>
        <v>0</v>
      </c>
      <c r="Q167" s="32" t="n">
        <f aca="false">Calculations!Q$20*$D$156</f>
        <v>0</v>
      </c>
      <c r="R167" s="32" t="n">
        <f aca="false">Calculations!R$20*$D$156</f>
        <v>0</v>
      </c>
      <c r="S167" s="32" t="n">
        <f aca="false">Calculations!S$20*$D$156</f>
        <v>0</v>
      </c>
      <c r="T167" s="32" t="n">
        <f aca="false">Calculations!T$20*$D$156</f>
        <v>0</v>
      </c>
      <c r="U167" s="32" t="n">
        <f aca="false">Calculations!U$20*$D$156</f>
        <v>0</v>
      </c>
      <c r="V167" s="32" t="n">
        <f aca="false">Calculations!V$20*$D$156</f>
        <v>0</v>
      </c>
      <c r="W167" s="32" t="n">
        <f aca="false">Calculations!W$20*$D$156</f>
        <v>0</v>
      </c>
      <c r="X167" s="32" t="n">
        <f aca="false">Calculations!X$20*$D$156</f>
        <v>0</v>
      </c>
      <c r="Y167" s="32" t="n">
        <f aca="false">Calculations!Y$20*$D$156</f>
        <v>0</v>
      </c>
      <c r="Z167" s="32" t="n">
        <f aca="false">Calculations!Z$20*$D$156</f>
        <v>0</v>
      </c>
      <c r="AA167" s="32" t="n">
        <f aca="false">Calculations!AA$20*$D$156</f>
        <v>0</v>
      </c>
      <c r="AB167" s="32" t="n">
        <f aca="false">Calculations!AB$20*$D$156</f>
        <v>0</v>
      </c>
      <c r="AC167" s="32" t="n">
        <f aca="false">Calculations!AC$20*$D$156</f>
        <v>0</v>
      </c>
      <c r="AD167" s="32" t="n">
        <f aca="false">Calculations!AD$20*$D$156</f>
        <v>0</v>
      </c>
    </row>
    <row r="168" customFormat="false" ht="15" hidden="false" customHeight="false" outlineLevel="1" collapsed="false">
      <c r="B168" s="4" t="s">
        <v>169</v>
      </c>
      <c r="C168" s="24" t="s">
        <v>120</v>
      </c>
      <c r="F168" s="32" t="n">
        <f aca="false">F162-F163-F167</f>
        <v>-10989750</v>
      </c>
      <c r="G168" s="32" t="n">
        <f aca="false">G162-G163-G167</f>
        <v>1157402.86381136</v>
      </c>
      <c r="H168" s="32" t="n">
        <f aca="false">H162-H163-H167</f>
        <v>1315288.51221556</v>
      </c>
      <c r="I168" s="32" t="n">
        <f aca="false">I162-I163-I167</f>
        <v>1484833.58877205</v>
      </c>
      <c r="J168" s="32" t="n">
        <f aca="false">J162-J163-J167</f>
        <v>1667056.01235729</v>
      </c>
      <c r="K168" s="32" t="n">
        <f aca="false">K162-K163-K167</f>
        <v>1863074.7139981</v>
      </c>
      <c r="L168" s="32" t="n">
        <f aca="false">L162-L163-L167</f>
        <v>2074120.45567866</v>
      </c>
      <c r="M168" s="32" t="n">
        <f aca="false">M162-M163-M167</f>
        <v>2301547.85367107</v>
      </c>
      <c r="N168" s="32" t="n">
        <f aca="false">N162-N163-N167</f>
        <v>2546848.74294003</v>
      </c>
      <c r="O168" s="32" t="n">
        <f aca="false">O162-O163-O167</f>
        <v>2811667.03477696</v>
      </c>
      <c r="P168" s="32" t="n">
        <f aca="false">P162-P163-P167</f>
        <v>3097815.23721446</v>
      </c>
      <c r="Q168" s="32" t="n">
        <f aca="false">Q162-Q163-Q167</f>
        <v>3251773.46960092</v>
      </c>
      <c r="R168" s="32" t="n">
        <f aca="false">R162-R163-R167</f>
        <v>3413383.2435786</v>
      </c>
      <c r="S168" s="32" t="n">
        <f aca="false">S162-S163-S167</f>
        <v>3583024.83047741</v>
      </c>
      <c r="T168" s="32" t="n">
        <f aca="false">T162-T163-T167</f>
        <v>3761097.40054035</v>
      </c>
      <c r="U168" s="32" t="n">
        <f aca="false">U162-U163-U167</f>
        <v>3948019.96216805</v>
      </c>
      <c r="V168" s="32" t="n">
        <f aca="false">V162-V163-V167</f>
        <v>4144232.34784198</v>
      </c>
      <c r="W168" s="32" t="n">
        <f aca="false">W162-W163-W167</f>
        <v>4350196.24904629</v>
      </c>
      <c r="X168" s="32" t="n">
        <f aca="false">X162-X163-X167</f>
        <v>4566396.30262339</v>
      </c>
      <c r="Y168" s="32" t="n">
        <f aca="false">Y162-Y163-Y167</f>
        <v>4793341.23111927</v>
      </c>
      <c r="Z168" s="32" t="n">
        <f aca="false">Z162-Z163-Z167</f>
        <v>0</v>
      </c>
      <c r="AA168" s="32" t="n">
        <f aca="false">AA162-AA163-AA167</f>
        <v>0</v>
      </c>
      <c r="AB168" s="32" t="n">
        <f aca="false">AB162-AB163-AB167</f>
        <v>0</v>
      </c>
      <c r="AC168" s="32" t="n">
        <f aca="false">AC162-AC163-AC167</f>
        <v>0</v>
      </c>
      <c r="AD168" s="32" t="n">
        <f aca="false">AD162-AD163-AD167</f>
        <v>0</v>
      </c>
    </row>
    <row r="169" customFormat="false" ht="15" hidden="false" customHeight="false" outlineLevel="1" collapsed="false">
      <c r="B169" s="4" t="s">
        <v>172</v>
      </c>
      <c r="C169" s="24" t="s">
        <v>120</v>
      </c>
      <c r="F169" s="32" t="n">
        <f aca="false">MAX(0,E169-F168)</f>
        <v>10989750</v>
      </c>
      <c r="G169" s="32" t="n">
        <f aca="false">MAX(0,F169-G168)</f>
        <v>9832347.13618864</v>
      </c>
      <c r="H169" s="32" t="n">
        <f aca="false">MAX(0,G169-H168)</f>
        <v>8517058.62397308</v>
      </c>
      <c r="I169" s="32" t="n">
        <f aca="false">MAX(0,H169-I168)</f>
        <v>7032225.03520103</v>
      </c>
      <c r="J169" s="32" t="n">
        <f aca="false">MAX(0,I169-J168)</f>
        <v>5365169.02284374</v>
      </c>
      <c r="K169" s="32" t="n">
        <f aca="false">MAX(0,J169-K168)</f>
        <v>3502094.30884564</v>
      </c>
      <c r="L169" s="32" t="n">
        <f aca="false">MAX(0,K169-L168)</f>
        <v>1427973.85316698</v>
      </c>
      <c r="M169" s="32" t="n">
        <f aca="false">MAX(0,L169-M168)</f>
        <v>0</v>
      </c>
      <c r="N169" s="32" t="n">
        <f aca="false">MAX(0,M169-N168)</f>
        <v>0</v>
      </c>
      <c r="O169" s="32" t="n">
        <f aca="false">MAX(0,N169-O168)</f>
        <v>0</v>
      </c>
      <c r="P169" s="32" t="n">
        <f aca="false">MAX(0,O169-P168)</f>
        <v>0</v>
      </c>
      <c r="Q169" s="32" t="n">
        <f aca="false">MAX(0,P169-Q168)</f>
        <v>0</v>
      </c>
      <c r="R169" s="32" t="n">
        <f aca="false">MAX(0,Q169-R168)</f>
        <v>0</v>
      </c>
      <c r="S169" s="32" t="n">
        <f aca="false">MAX(0,R169-S168)</f>
        <v>0</v>
      </c>
      <c r="T169" s="32" t="n">
        <f aca="false">MAX(0,S169-T168)</f>
        <v>0</v>
      </c>
      <c r="U169" s="32" t="n">
        <f aca="false">MAX(0,T169-U168)</f>
        <v>0</v>
      </c>
      <c r="V169" s="32" t="n">
        <f aca="false">MAX(0,U169-V168)</f>
        <v>0</v>
      </c>
      <c r="W169" s="32" t="n">
        <f aca="false">MAX(0,V169-W168)</f>
        <v>0</v>
      </c>
      <c r="X169" s="32" t="n">
        <f aca="false">MAX(0,W169-X168)</f>
        <v>0</v>
      </c>
      <c r="Y169" s="32" t="n">
        <f aca="false">MAX(0,X169-Y168)</f>
        <v>0</v>
      </c>
      <c r="Z169" s="32" t="n">
        <f aca="false">MAX(0,Y169-Z168)</f>
        <v>0</v>
      </c>
      <c r="AA169" s="32" t="n">
        <f aca="false">MAX(0,Z169-AA168)</f>
        <v>0</v>
      </c>
      <c r="AB169" s="32" t="n">
        <f aca="false">MAX(0,AA169-AB168)</f>
        <v>0</v>
      </c>
      <c r="AC169" s="32" t="n">
        <f aca="false">MAX(0,AB169-AC168)</f>
        <v>0</v>
      </c>
      <c r="AD169" s="32" t="n">
        <f aca="false">MAX(0,AC169-AD168)</f>
        <v>0</v>
      </c>
    </row>
    <row r="170" customFormat="false" ht="15" hidden="false" customHeight="false" outlineLevel="1" collapsed="false">
      <c r="B170" s="4" t="s">
        <v>173</v>
      </c>
      <c r="C170" s="24" t="s">
        <v>120</v>
      </c>
      <c r="F170" s="32" t="n">
        <f aca="false">Tax_Rate*MAX(0,F168-E169)</f>
        <v>0</v>
      </c>
      <c r="G170" s="32" t="n">
        <f aca="false">Tax_Rate*MAX(0,G168-F169)</f>
        <v>0</v>
      </c>
      <c r="H170" s="32" t="n">
        <f aca="false">Tax_Rate*MAX(0,H168-G169)</f>
        <v>0</v>
      </c>
      <c r="I170" s="32" t="n">
        <f aca="false">Tax_Rate*MAX(0,I168-H169)</f>
        <v>0</v>
      </c>
      <c r="J170" s="32" t="n">
        <f aca="false">Tax_Rate*MAX(0,J168-I169)</f>
        <v>0</v>
      </c>
      <c r="K170" s="32" t="n">
        <f aca="false">Tax_Rate*MAX(0,K168-J169)</f>
        <v>0</v>
      </c>
      <c r="L170" s="32" t="n">
        <f aca="false">Tax_Rate*MAX(0,L168-K169)</f>
        <v>0</v>
      </c>
      <c r="M170" s="32" t="n">
        <f aca="false">Tax_Rate*MAX(0,M168-L169)</f>
        <v>235864.980136106</v>
      </c>
      <c r="N170" s="32" t="n">
        <f aca="false">Tax_Rate*MAX(0,N168-M169)</f>
        <v>687649.160593809</v>
      </c>
      <c r="O170" s="32" t="n">
        <f aca="false">Tax_Rate*MAX(0,O168-N169)</f>
        <v>759150.099389778</v>
      </c>
      <c r="P170" s="32" t="n">
        <f aca="false">Tax_Rate*MAX(0,P168-O169)</f>
        <v>836410.114047905</v>
      </c>
      <c r="Q170" s="32" t="n">
        <f aca="false">Tax_Rate*MAX(0,Q168-P169)</f>
        <v>877978.83679225</v>
      </c>
      <c r="R170" s="32" t="n">
        <f aca="false">Tax_Rate*MAX(0,R168-Q169)</f>
        <v>921613.475766223</v>
      </c>
      <c r="S170" s="32" t="n">
        <f aca="false">Tax_Rate*MAX(0,S168-R169)</f>
        <v>967416.704228901</v>
      </c>
      <c r="T170" s="32" t="n">
        <f aca="false">Tax_Rate*MAX(0,T168-S169)</f>
        <v>1015496.2981459</v>
      </c>
      <c r="U170" s="32" t="n">
        <f aca="false">Tax_Rate*MAX(0,U168-T169)</f>
        <v>1065965.38978537</v>
      </c>
      <c r="V170" s="32" t="n">
        <f aca="false">Tax_Rate*MAX(0,V168-U169)</f>
        <v>1118942.73391733</v>
      </c>
      <c r="W170" s="32" t="n">
        <f aca="false">Tax_Rate*MAX(0,W168-V169)</f>
        <v>1174552.9872425</v>
      </c>
      <c r="X170" s="32" t="n">
        <f aca="false">Tax_Rate*MAX(0,X168-W169)</f>
        <v>1232927.00170832</v>
      </c>
      <c r="Y170" s="32" t="n">
        <f aca="false">Tax_Rate*MAX(0,Y168-X169)</f>
        <v>1294202.1324022</v>
      </c>
      <c r="Z170" s="32" t="n">
        <f aca="false">Tax_Rate*MAX(0,Z168-Y169)</f>
        <v>0</v>
      </c>
      <c r="AA170" s="32" t="n">
        <f aca="false">Tax_Rate*MAX(0,AA168-Z169)</f>
        <v>0</v>
      </c>
      <c r="AB170" s="32" t="n">
        <f aca="false">Tax_Rate*MAX(0,AB168-AA169)</f>
        <v>0</v>
      </c>
      <c r="AC170" s="32" t="n">
        <f aca="false">Tax_Rate*MAX(0,AC168-AB169)</f>
        <v>0</v>
      </c>
      <c r="AD170" s="32" t="n">
        <f aca="false">Tax_Rate*MAX(0,AD168-AC169)</f>
        <v>0</v>
      </c>
    </row>
    <row r="171" customFormat="false" ht="15" hidden="false" customHeight="false" outlineLevel="1" collapsed="false">
      <c r="B171" s="4" t="s">
        <v>176</v>
      </c>
      <c r="C171" s="24" t="s">
        <v>120</v>
      </c>
      <c r="F171" s="32" t="n">
        <f aca="false">F162-F170</f>
        <v>1907250</v>
      </c>
      <c r="G171" s="32" t="n">
        <f aca="false">G162-G170</f>
        <v>2002038.50625</v>
      </c>
      <c r="H171" s="32" t="n">
        <f aca="false">H162-H170</f>
        <v>2101537.89597328</v>
      </c>
      <c r="I171" s="32" t="n">
        <f aca="false">I162-I170</f>
        <v>2205982.29410055</v>
      </c>
      <c r="J171" s="32" t="n">
        <f aca="false">J162-J170</f>
        <v>2315617.4612372</v>
      </c>
      <c r="K171" s="32" t="n">
        <f aca="false">K162-K170</f>
        <v>2430701.37193785</v>
      </c>
      <c r="L171" s="32" t="n">
        <f aca="false">L162-L170</f>
        <v>2551504.82172011</v>
      </c>
      <c r="M171" s="32" t="n">
        <f aca="false">M162-M170</f>
        <v>2442447.08410983</v>
      </c>
      <c r="N171" s="32" t="n">
        <f aca="false">N162-N170</f>
        <v>2123772.31957583</v>
      </c>
      <c r="O171" s="32" t="n">
        <f aca="false">O162-O170</f>
        <v>2191996.17983683</v>
      </c>
      <c r="P171" s="32" t="n">
        <f aca="false">P162-P170</f>
        <v>2261405.12316656</v>
      </c>
      <c r="Q171" s="32" t="n">
        <f aca="false">Q162-Q170</f>
        <v>2373794.63280867</v>
      </c>
      <c r="R171" s="32" t="n">
        <f aca="false">R162-R170</f>
        <v>2491769.76781238</v>
      </c>
      <c r="S171" s="32" t="n">
        <f aca="false">S162-S170</f>
        <v>2615608.12624851</v>
      </c>
      <c r="T171" s="32" t="n">
        <f aca="false">T162-T170</f>
        <v>2745601.10239446</v>
      </c>
      <c r="U171" s="32" t="n">
        <f aca="false">U162-U170</f>
        <v>2882054.57238268</v>
      </c>
      <c r="V171" s="32" t="n">
        <f aca="false">V162-V170</f>
        <v>3025289.61392464</v>
      </c>
      <c r="W171" s="32" t="n">
        <f aca="false">W162-W170</f>
        <v>3175643.26180379</v>
      </c>
      <c r="X171" s="32" t="n">
        <f aca="false">X162-X170</f>
        <v>3333469.30091507</v>
      </c>
      <c r="Y171" s="32" t="n">
        <f aca="false">Y162-Y170</f>
        <v>3499139.09871707</v>
      </c>
      <c r="Z171" s="32" t="n">
        <f aca="false">Z162-Z170</f>
        <v>0</v>
      </c>
      <c r="AA171" s="32" t="n">
        <f aca="false">AA162-AA170</f>
        <v>0</v>
      </c>
      <c r="AB171" s="32" t="n">
        <f aca="false">AB162-AB170</f>
        <v>0</v>
      </c>
      <c r="AC171" s="32" t="n">
        <f aca="false">AC162-AC170</f>
        <v>0</v>
      </c>
      <c r="AD171" s="32" t="n">
        <f aca="false">AD162-AD170</f>
        <v>0</v>
      </c>
    </row>
    <row r="172" customFormat="false" ht="15" hidden="false" customHeight="false" outlineLevel="1" collapsed="false">
      <c r="B172" s="4" t="s">
        <v>278</v>
      </c>
      <c r="C172" s="24" t="s">
        <v>111</v>
      </c>
      <c r="F172" s="62" t="n">
        <f aca="false">IF(AND(Calculations!F$7=1,F164&gt;0),F171/F164,"")</f>
        <v>1.41033086452573</v>
      </c>
      <c r="G172" s="62" t="n">
        <f aca="false">IF(AND(Calculations!G$7=1,G164&gt;0),G171/G164,"")</f>
        <v>1.48042296360381</v>
      </c>
      <c r="H172" s="62" t="n">
        <f aca="false">IF(AND(Calculations!H$7=1,H164&gt;0),H171/H164,"")</f>
        <v>1.55399856215052</v>
      </c>
      <c r="I172" s="62" t="n">
        <f aca="false">IF(AND(Calculations!I$7=1,I164&gt;0),I171/I164,"")</f>
        <v>1.63123078566904</v>
      </c>
      <c r="J172" s="62" t="n">
        <f aca="false">IF(AND(Calculations!J$7=1,J164&gt;0),J171/J164,"")</f>
        <v>1.7123013637528</v>
      </c>
      <c r="K172" s="62" t="n">
        <f aca="false">IF(AND(Calculations!K$7=1,K164&gt;0),K171/K164,"")</f>
        <v>1.7974010576951</v>
      </c>
      <c r="L172" s="62" t="n">
        <f aca="false">IF(AND(Calculations!L$7=1,L164&gt;0),L171/L164,"")</f>
        <v>1.88673010935016</v>
      </c>
      <c r="M172" s="62" t="n">
        <f aca="false">IF(AND(Calculations!M$7=1,M164&gt;0),M171/M164,"")</f>
        <v>1.80608651602619</v>
      </c>
      <c r="N172" s="62" t="n">
        <f aca="false">IF(AND(Calculations!N$7=1,N164&gt;0),N171/N164,"")</f>
        <v>1.57043997982603</v>
      </c>
      <c r="O172" s="62" t="n">
        <f aca="false">IF(AND(Calculations!O$7=1,O164&gt;0),O171/O164,"")</f>
        <v>1.62088864456488</v>
      </c>
      <c r="P172" s="62" t="str">
        <f aca="false">IF(AND(Calculations!P$7=1,P164&gt;0),P171/P164,"")</f>
        <v/>
      </c>
      <c r="Q172" s="62" t="str">
        <f aca="false">IF(AND(Calculations!Q$7=1,Q164&gt;0),Q171/Q164,"")</f>
        <v/>
      </c>
      <c r="R172" s="62" t="str">
        <f aca="false">IF(AND(Calculations!R$7=1,R164&gt;0),R171/R164,"")</f>
        <v/>
      </c>
      <c r="S172" s="62" t="str">
        <f aca="false">IF(AND(Calculations!S$7=1,S164&gt;0),S171/S164,"")</f>
        <v/>
      </c>
      <c r="T172" s="62" t="str">
        <f aca="false">IF(AND(Calculations!T$7=1,T164&gt;0),T171/T164,"")</f>
        <v/>
      </c>
      <c r="U172" s="62" t="str">
        <f aca="false">IF(AND(Calculations!U$7=1,U164&gt;0),U171/U164,"")</f>
        <v/>
      </c>
      <c r="V172" s="62" t="str">
        <f aca="false">IF(AND(Calculations!V$7=1,V164&gt;0),V171/V164,"")</f>
        <v/>
      </c>
      <c r="W172" s="62" t="str">
        <f aca="false">IF(AND(Calculations!W$7=1,W164&gt;0),W171/W164,"")</f>
        <v/>
      </c>
      <c r="X172" s="62" t="str">
        <f aca="false">IF(AND(Calculations!X$7=1,X164&gt;0),X171/X164,"")</f>
        <v/>
      </c>
      <c r="Y172" s="62" t="str">
        <f aca="false">IF(AND(Calculations!Y$7=1,Y164&gt;0),Y171/Y164,"")</f>
        <v/>
      </c>
      <c r="Z172" s="62" t="str">
        <f aca="false">IF(AND(Calculations!Z$7=1,Z164&gt;0),Z171/Z164,"")</f>
        <v/>
      </c>
      <c r="AA172" s="62" t="str">
        <f aca="false">IF(AND(Calculations!AA$7=1,AA164&gt;0),AA171/AA164,"")</f>
        <v/>
      </c>
      <c r="AB172" s="62" t="str">
        <f aca="false">IF(AND(Calculations!AB$7=1,AB164&gt;0),AB171/AB164,"")</f>
        <v/>
      </c>
      <c r="AC172" s="62" t="str">
        <f aca="false">IF(AND(Calculations!AC$7=1,AC164&gt;0),AC171/AC164,"")</f>
        <v/>
      </c>
      <c r="AD172" s="62" t="str">
        <f aca="false">IF(AND(Calculations!AD$7=1,AD164&gt;0),AD171/AD164,"")</f>
        <v/>
      </c>
    </row>
    <row r="173" customFormat="false" ht="15" hidden="false" customHeight="false" outlineLevel="1" collapsed="false">
      <c r="B173" s="4" t="s">
        <v>182</v>
      </c>
      <c r="C173" s="24" t="s">
        <v>120</v>
      </c>
      <c r="E173" s="32" t="n">
        <f aca="false">-($D$157-$D$158)</f>
        <v>-4200000</v>
      </c>
      <c r="F173" s="32" t="n">
        <f aca="false">F171-F164</f>
        <v>554907.760335991</v>
      </c>
      <c r="G173" s="32" t="n">
        <f aca="false">G171-G164</f>
        <v>649696.266585991</v>
      </c>
      <c r="H173" s="32" t="n">
        <f aca="false">H171-H164</f>
        <v>749195.656309272</v>
      </c>
      <c r="I173" s="32" t="n">
        <f aca="false">I171-I164</f>
        <v>853640.054436543</v>
      </c>
      <c r="J173" s="32" t="n">
        <f aca="false">J171-J164</f>
        <v>963275.221573193</v>
      </c>
      <c r="K173" s="32" t="n">
        <f aca="false">K171-K164</f>
        <v>1078359.13227384</v>
      </c>
      <c r="L173" s="32" t="n">
        <f aca="false">L171-L164</f>
        <v>1199162.5820561</v>
      </c>
      <c r="M173" s="32" t="n">
        <f aca="false">M171-M164</f>
        <v>1090104.84444582</v>
      </c>
      <c r="N173" s="32" t="n">
        <f aca="false">N171-N164</f>
        <v>771430.079911823</v>
      </c>
      <c r="O173" s="32" t="n">
        <f aca="false">O171-O164</f>
        <v>839653.94017282</v>
      </c>
      <c r="P173" s="32" t="n">
        <f aca="false">P171-P164</f>
        <v>2261405.12316656</v>
      </c>
      <c r="Q173" s="32" t="n">
        <f aca="false">Q171-Q164</f>
        <v>2373794.63280867</v>
      </c>
      <c r="R173" s="32" t="n">
        <f aca="false">R171-R164</f>
        <v>2491769.76781238</v>
      </c>
      <c r="S173" s="32" t="n">
        <f aca="false">S171-S164</f>
        <v>2615608.12624851</v>
      </c>
      <c r="T173" s="32" t="n">
        <f aca="false">T171-T164</f>
        <v>2745601.10239446</v>
      </c>
      <c r="U173" s="32" t="n">
        <f aca="false">U171-U164</f>
        <v>2882054.57238268</v>
      </c>
      <c r="V173" s="32" t="n">
        <f aca="false">V171-V164</f>
        <v>3025289.61392464</v>
      </c>
      <c r="W173" s="32" t="n">
        <f aca="false">W171-W164</f>
        <v>3175643.26180379</v>
      </c>
      <c r="X173" s="32" t="n">
        <f aca="false">X171-X164</f>
        <v>3333469.30091507</v>
      </c>
      <c r="Y173" s="32" t="n">
        <f aca="false">Y171-Y164</f>
        <v>3499139.09871707</v>
      </c>
      <c r="Z173" s="32" t="n">
        <f aca="false">Z171-Z164</f>
        <v>0</v>
      </c>
      <c r="AA173" s="32" t="n">
        <f aca="false">AA171-AA164</f>
        <v>0</v>
      </c>
      <c r="AB173" s="32" t="n">
        <f aca="false">AB171-AB164</f>
        <v>0</v>
      </c>
      <c r="AC173" s="32" t="n">
        <f aca="false">AC171-AC164</f>
        <v>0</v>
      </c>
      <c r="AD173" s="32" t="n">
        <f aca="false">AD171-AD164</f>
        <v>0</v>
      </c>
    </row>
    <row r="174" customFormat="false" ht="15" hidden="false" customHeight="false" outlineLevel="1" collapsed="false">
      <c r="B174" s="3" t="s">
        <v>208</v>
      </c>
      <c r="C174" s="24" t="s">
        <v>97</v>
      </c>
      <c r="D174" s="76" t="n">
        <f aca="false">IRR(E173:AD173)</f>
        <v>0.233322067831228</v>
      </c>
    </row>
    <row r="175" customFormat="false" ht="15" hidden="false" customHeight="false" outlineLevel="1" collapsed="false">
      <c r="B175" s="3" t="s">
        <v>210</v>
      </c>
      <c r="C175" s="24" t="s">
        <v>111</v>
      </c>
      <c r="D175" s="49" t="n">
        <f aca="false">MIN(F172:AD172)</f>
        <v>1.41033086452573</v>
      </c>
    </row>
    <row r="176" customFormat="false" ht="15" hidden="false" customHeight="false" outlineLevel="1" collapsed="false">
      <c r="B176" s="3" t="s">
        <v>262</v>
      </c>
      <c r="C176" s="24" t="s">
        <v>120</v>
      </c>
      <c r="D176" s="44" t="n">
        <f aca="false">E173+NPV(Equity_Discount_Rate,F173:AD173)</f>
        <v>2700211.12360987</v>
      </c>
    </row>
    <row r="178" customFormat="false" ht="15" hidden="false" customHeight="false" outlineLevel="0" collapsed="false">
      <c r="B178" s="21" t="s">
        <v>284</v>
      </c>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row>
    <row r="179" customFormat="false" ht="15" hidden="false" customHeight="false" outlineLevel="1" collapsed="false">
      <c r="B179" s="4" t="s">
        <v>258</v>
      </c>
      <c r="C179" s="24" t="s">
        <v>111</v>
      </c>
      <c r="D179" s="62" t="n">
        <f aca="false">1-Sens_Tariff_Flex</f>
        <v>0.9</v>
      </c>
    </row>
    <row r="180" customFormat="false" ht="15" hidden="false" customHeight="false" outlineLevel="1" collapsed="false">
      <c r="B180" s="4" t="s">
        <v>259</v>
      </c>
      <c r="C180" s="24" t="s">
        <v>111</v>
      </c>
      <c r="D180" s="62" t="n">
        <f aca="false">1+Sens_Capex_Flex</f>
        <v>1.1</v>
      </c>
    </row>
    <row r="181" customFormat="false" ht="15" hidden="false" customHeight="false" outlineLevel="1" collapsed="false">
      <c r="B181" s="4" t="s">
        <v>271</v>
      </c>
      <c r="C181" s="24" t="s">
        <v>120</v>
      </c>
      <c r="D181" s="32" t="n">
        <f aca="false">Capex_Total*D180</f>
        <v>13200000</v>
      </c>
    </row>
    <row r="182" customFormat="false" ht="15" hidden="false" customHeight="false" outlineLevel="1" collapsed="false">
      <c r="B182" s="4" t="s">
        <v>272</v>
      </c>
      <c r="C182" s="24" t="s">
        <v>120</v>
      </c>
      <c r="D182" s="32" t="n">
        <f aca="false">D181*Gearing</f>
        <v>8580000</v>
      </c>
    </row>
    <row r="183" customFormat="false" ht="15" hidden="false" customHeight="false" outlineLevel="1" collapsed="false">
      <c r="B183" s="4" t="s">
        <v>273</v>
      </c>
      <c r="C183" s="24" t="s">
        <v>120</v>
      </c>
      <c r="D183" s="32" t="n">
        <f aca="false">-PMT(Interest_Rate,Debt_Tenor,D182)</f>
        <v>1487576.46363041</v>
      </c>
    </row>
    <row r="184" customFormat="false" ht="15" hidden="false" customHeight="false" outlineLevel="1" collapsed="false">
      <c r="B184" s="4" t="s">
        <v>144</v>
      </c>
      <c r="C184" s="24"/>
      <c r="E184" s="75" t="n">
        <f aca="false">Calculations!E$5</f>
        <v>0</v>
      </c>
      <c r="F184" s="75" t="n">
        <f aca="false">Calculations!F$5</f>
        <v>1</v>
      </c>
      <c r="G184" s="75" t="n">
        <f aca="false">Calculations!G$5</f>
        <v>2</v>
      </c>
      <c r="H184" s="75" t="n">
        <f aca="false">Calculations!H$5</f>
        <v>3</v>
      </c>
      <c r="I184" s="75" t="n">
        <f aca="false">Calculations!I$5</f>
        <v>4</v>
      </c>
      <c r="J184" s="75" t="n">
        <f aca="false">Calculations!J$5</f>
        <v>5</v>
      </c>
      <c r="K184" s="75" t="n">
        <f aca="false">Calculations!K$5</f>
        <v>6</v>
      </c>
      <c r="L184" s="75" t="n">
        <f aca="false">Calculations!L$5</f>
        <v>7</v>
      </c>
      <c r="M184" s="75" t="n">
        <f aca="false">Calculations!M$5</f>
        <v>8</v>
      </c>
      <c r="N184" s="75" t="n">
        <f aca="false">Calculations!N$5</f>
        <v>9</v>
      </c>
      <c r="O184" s="75" t="n">
        <f aca="false">Calculations!O$5</f>
        <v>10</v>
      </c>
      <c r="P184" s="75" t="n">
        <f aca="false">Calculations!P$5</f>
        <v>11</v>
      </c>
      <c r="Q184" s="75" t="n">
        <f aca="false">Calculations!Q$5</f>
        <v>12</v>
      </c>
      <c r="R184" s="75" t="n">
        <f aca="false">Calculations!R$5</f>
        <v>13</v>
      </c>
      <c r="S184" s="75" t="n">
        <f aca="false">Calculations!S$5</f>
        <v>14</v>
      </c>
      <c r="T184" s="75" t="n">
        <f aca="false">Calculations!T$5</f>
        <v>15</v>
      </c>
      <c r="U184" s="75" t="n">
        <f aca="false">Calculations!U$5</f>
        <v>16</v>
      </c>
      <c r="V184" s="75" t="n">
        <f aca="false">Calculations!V$5</f>
        <v>17</v>
      </c>
      <c r="W184" s="75" t="n">
        <f aca="false">Calculations!W$5</f>
        <v>18</v>
      </c>
      <c r="X184" s="75" t="n">
        <f aca="false">Calculations!X$5</f>
        <v>19</v>
      </c>
      <c r="Y184" s="75" t="n">
        <f aca="false">Calculations!Y$5</f>
        <v>20</v>
      </c>
      <c r="Z184" s="75" t="n">
        <f aca="false">Calculations!Z$5</f>
        <v>21</v>
      </c>
      <c r="AA184" s="75" t="n">
        <f aca="false">Calculations!AA$5</f>
        <v>22</v>
      </c>
      <c r="AB184" s="75" t="n">
        <f aca="false">Calculations!AB$5</f>
        <v>23</v>
      </c>
      <c r="AC184" s="75" t="n">
        <f aca="false">Calculations!AC$5</f>
        <v>24</v>
      </c>
      <c r="AD184" s="75" t="n">
        <f aca="false">Calculations!AD$5</f>
        <v>25</v>
      </c>
    </row>
    <row r="185" customFormat="false" ht="15" hidden="false" customHeight="false" outlineLevel="1" collapsed="false">
      <c r="B185" s="4" t="s">
        <v>152</v>
      </c>
      <c r="C185" s="24" t="s">
        <v>120</v>
      </c>
      <c r="F185" s="32" t="n">
        <f aca="false">Calculations!F$12*$D$179</f>
        <v>1707750</v>
      </c>
      <c r="G185" s="32" t="n">
        <f aca="false">Calculations!G$12*$D$179</f>
        <v>1792667.86875</v>
      </c>
      <c r="H185" s="32" t="n">
        <f aca="false">Calculations!H$12*$D$179</f>
        <v>1881808.27852359</v>
      </c>
      <c r="I185" s="32" t="n">
        <f aca="false">Calculations!I$12*$D$179</f>
        <v>1975381.19517318</v>
      </c>
      <c r="J185" s="32" t="n">
        <f aca="false">Calculations!J$12*$D$179</f>
        <v>2073607.02510317</v>
      </c>
      <c r="K185" s="32" t="n">
        <f aca="false">Calculations!K$12*$D$179</f>
        <v>2176717.13442642</v>
      </c>
      <c r="L185" s="32" t="n">
        <f aca="false">Calculations!L$12*$D$179</f>
        <v>2284954.39393577</v>
      </c>
      <c r="M185" s="32" t="n">
        <f aca="false">Calculations!M$12*$D$179</f>
        <v>2398573.75117423</v>
      </c>
      <c r="N185" s="32" t="n">
        <f aca="false">Calculations!N$12*$D$179</f>
        <v>2517842.83095137</v>
      </c>
      <c r="O185" s="32" t="n">
        <f aca="false">Calculations!O$12*$D$179</f>
        <v>2643042.56572042</v>
      </c>
      <c r="P185" s="32" t="n">
        <f aca="false">Calculations!P$12*$D$179</f>
        <v>2774467.85730087</v>
      </c>
      <c r="Q185" s="32" t="n">
        <f aca="false">Calculations!Q$12*$D$179</f>
        <v>2912428.27150516</v>
      </c>
      <c r="R185" s="32" t="n">
        <f aca="false">Calculations!R$12*$D$179</f>
        <v>3057248.76730575</v>
      </c>
      <c r="S185" s="32" t="n">
        <f aca="false">Calculations!S$12*$D$179</f>
        <v>3209270.46226003</v>
      </c>
      <c r="T185" s="32" t="n">
        <f aca="false">Calculations!T$12*$D$179</f>
        <v>3368851.43599591</v>
      </c>
      <c r="U185" s="32" t="n">
        <f aca="false">Calculations!U$12*$D$179</f>
        <v>3536367.57365081</v>
      </c>
      <c r="V185" s="32" t="n">
        <f aca="false">Calculations!V$12*$D$179</f>
        <v>3712213.45125059</v>
      </c>
      <c r="W185" s="32" t="n">
        <f aca="false">Calculations!W$12*$D$179</f>
        <v>3896803.26511403</v>
      </c>
      <c r="X185" s="32" t="n">
        <f aca="false">Calculations!X$12*$D$179</f>
        <v>4090571.80747182</v>
      </c>
      <c r="Y185" s="32" t="n">
        <f aca="false">Calculations!Y$12*$D$179</f>
        <v>4293975.49059836</v>
      </c>
      <c r="Z185" s="32" t="n">
        <f aca="false">Calculations!Z$12*$D$179</f>
        <v>0</v>
      </c>
      <c r="AA185" s="32" t="n">
        <f aca="false">Calculations!AA$12*$D$179</f>
        <v>0</v>
      </c>
      <c r="AB185" s="32" t="n">
        <f aca="false">Calculations!AB$12*$D$179</f>
        <v>0</v>
      </c>
      <c r="AC185" s="32" t="n">
        <f aca="false">Calculations!AC$12*$D$179</f>
        <v>0</v>
      </c>
      <c r="AD185" s="32" t="n">
        <f aca="false">Calculations!AD$12*$D$179</f>
        <v>0</v>
      </c>
    </row>
    <row r="186" customFormat="false" ht="15" hidden="false" customHeight="false" outlineLevel="1" collapsed="false">
      <c r="B186" s="4" t="s">
        <v>155</v>
      </c>
      <c r="C186" s="24" t="s">
        <v>120</v>
      </c>
      <c r="F186" s="32" t="n">
        <f aca="false">F185-Calculations!F$15</f>
        <v>1527750</v>
      </c>
      <c r="G186" s="32" t="n">
        <f aca="false">G185-Calculations!G$15</f>
        <v>1603667.86875</v>
      </c>
      <c r="H186" s="32" t="n">
        <f aca="false">H185-Calculations!H$15</f>
        <v>1683358.27852359</v>
      </c>
      <c r="I186" s="32" t="n">
        <f aca="false">I185-Calculations!I$15</f>
        <v>1767008.69517318</v>
      </c>
      <c r="J186" s="32" t="n">
        <f aca="false">J185-Calculations!J$15</f>
        <v>1854815.90010317</v>
      </c>
      <c r="K186" s="32" t="n">
        <f aca="false">K185-Calculations!K$15</f>
        <v>1946986.45317642</v>
      </c>
      <c r="L186" s="32" t="n">
        <f aca="false">L185-Calculations!L$15</f>
        <v>2043737.17862327</v>
      </c>
      <c r="M186" s="32" t="n">
        <f aca="false">M185-Calculations!M$15</f>
        <v>2145295.6750961</v>
      </c>
      <c r="N186" s="32" t="n">
        <f aca="false">N185-Calculations!N$15</f>
        <v>2251900.85106934</v>
      </c>
      <c r="O186" s="32" t="n">
        <f aca="false">O185-Calculations!O$15</f>
        <v>2363803.48684429</v>
      </c>
      <c r="P186" s="32" t="n">
        <f aca="false">P185-Calculations!P$15</f>
        <v>2481266.82448093</v>
      </c>
      <c r="Q186" s="32" t="n">
        <f aca="false">Q185-Calculations!Q$15</f>
        <v>2604567.18704422</v>
      </c>
      <c r="R186" s="32" t="n">
        <f aca="false">R185-Calculations!R$15</f>
        <v>2733994.62862177</v>
      </c>
      <c r="S186" s="32" t="n">
        <f aca="false">S185-Calculations!S$15</f>
        <v>2869853.61664185</v>
      </c>
      <c r="T186" s="32" t="n">
        <f aca="false">T185-Calculations!T$15</f>
        <v>3012463.74809682</v>
      </c>
      <c r="U186" s="32" t="n">
        <f aca="false">U185-Calculations!U$15</f>
        <v>3162160.50135676</v>
      </c>
      <c r="V186" s="32" t="n">
        <f aca="false">V185-Calculations!V$15</f>
        <v>3319296.02534184</v>
      </c>
      <c r="W186" s="32" t="n">
        <f aca="false">W185-Calculations!W$15</f>
        <v>3484239.96790984</v>
      </c>
      <c r="X186" s="32" t="n">
        <f aca="false">X185-Calculations!X$15</f>
        <v>3657380.34540743</v>
      </c>
      <c r="Y186" s="32" t="n">
        <f aca="false">Y185-Calculations!Y$15</f>
        <v>3839124.45543074</v>
      </c>
      <c r="Z186" s="32" t="n">
        <f aca="false">Z185-Calculations!Z$15</f>
        <v>0</v>
      </c>
      <c r="AA186" s="32" t="n">
        <f aca="false">AA185-Calculations!AA$15</f>
        <v>0</v>
      </c>
      <c r="AB186" s="32" t="n">
        <f aca="false">AB185-Calculations!AB$15</f>
        <v>0</v>
      </c>
      <c r="AC186" s="32" t="n">
        <f aca="false">AC185-Calculations!AC$15</f>
        <v>0</v>
      </c>
      <c r="AD186" s="32" t="n">
        <f aca="false">AD185-Calculations!AD$15</f>
        <v>0</v>
      </c>
    </row>
    <row r="187" customFormat="false" ht="15" hidden="false" customHeight="false" outlineLevel="1" collapsed="false">
      <c r="B187" s="4" t="s">
        <v>274</v>
      </c>
      <c r="C187" s="24" t="s">
        <v>120</v>
      </c>
      <c r="F187" s="32" t="n">
        <f aca="false">E190*Interest_Rate*Calculations!F$7</f>
        <v>986700</v>
      </c>
      <c r="G187" s="32" t="n">
        <f aca="false">F190*Interest_Rate*Calculations!G$7</f>
        <v>929099.206682503</v>
      </c>
      <c r="H187" s="32" t="n">
        <f aca="false">G190*Interest_Rate*Calculations!H$7</f>
        <v>864874.322133494</v>
      </c>
      <c r="I187" s="32" t="n">
        <f aca="false">H190*Interest_Rate*Calculations!I$7</f>
        <v>793263.575861348</v>
      </c>
      <c r="J187" s="32" t="n">
        <f aca="false">I190*Interest_Rate*Calculations!J$7</f>
        <v>713417.593767906</v>
      </c>
      <c r="K187" s="32" t="n">
        <f aca="false">J190*Interest_Rate*Calculations!K$7</f>
        <v>624389.323733719</v>
      </c>
      <c r="L187" s="32" t="n">
        <f aca="false">K190*Interest_Rate*Calculations!L$7</f>
        <v>525122.802645599</v>
      </c>
      <c r="M187" s="32" t="n">
        <f aca="false">L190*Interest_Rate*Calculations!M$7</f>
        <v>414440.631632346</v>
      </c>
      <c r="N187" s="32" t="n">
        <f aca="false">M190*Interest_Rate*Calculations!N$7</f>
        <v>291030.010952568</v>
      </c>
      <c r="O187" s="32" t="n">
        <f aca="false">N190*Interest_Rate*Calculations!O$7</f>
        <v>153427.168894616</v>
      </c>
      <c r="P187" s="32" t="n">
        <f aca="false">O190*Interest_Rate*Calculations!P$7</f>
        <v>0</v>
      </c>
      <c r="Q187" s="32" t="n">
        <f aca="false">P190*Interest_Rate*Calculations!Q$7</f>
        <v>0</v>
      </c>
      <c r="R187" s="32" t="n">
        <f aca="false">Q190*Interest_Rate*Calculations!R$7</f>
        <v>0</v>
      </c>
      <c r="S187" s="32" t="n">
        <f aca="false">R190*Interest_Rate*Calculations!S$7</f>
        <v>0</v>
      </c>
      <c r="T187" s="32" t="n">
        <f aca="false">S190*Interest_Rate*Calculations!T$7</f>
        <v>0</v>
      </c>
      <c r="U187" s="32" t="n">
        <f aca="false">T190*Interest_Rate*Calculations!U$7</f>
        <v>0</v>
      </c>
      <c r="V187" s="32" t="n">
        <f aca="false">U190*Interest_Rate*Calculations!V$7</f>
        <v>0</v>
      </c>
      <c r="W187" s="32" t="n">
        <f aca="false">V190*Interest_Rate*Calculations!W$7</f>
        <v>0</v>
      </c>
      <c r="X187" s="32" t="n">
        <f aca="false">W190*Interest_Rate*Calculations!X$7</f>
        <v>0</v>
      </c>
      <c r="Y187" s="32" t="n">
        <f aca="false">X190*Interest_Rate*Calculations!Y$7</f>
        <v>0</v>
      </c>
      <c r="Z187" s="32" t="n">
        <f aca="false">Y190*Interest_Rate*Calculations!Z$7</f>
        <v>0</v>
      </c>
      <c r="AA187" s="32" t="n">
        <f aca="false">Z190*Interest_Rate*Calculations!AA$7</f>
        <v>0</v>
      </c>
      <c r="AB187" s="32" t="n">
        <f aca="false">AA190*Interest_Rate*Calculations!AB$7</f>
        <v>0</v>
      </c>
      <c r="AC187" s="32" t="n">
        <f aca="false">AB190*Interest_Rate*Calculations!AC$7</f>
        <v>0</v>
      </c>
      <c r="AD187" s="32" t="n">
        <f aca="false">AC190*Interest_Rate*Calculations!AD$7</f>
        <v>0</v>
      </c>
    </row>
    <row r="188" customFormat="false" ht="15" hidden="false" customHeight="false" outlineLevel="1" collapsed="false">
      <c r="B188" s="4" t="s">
        <v>177</v>
      </c>
      <c r="C188" s="24" t="s">
        <v>120</v>
      </c>
      <c r="F188" s="32" t="n">
        <f aca="false">$D$183*Calculations!F$7</f>
        <v>1487576.46363041</v>
      </c>
      <c r="G188" s="32" t="n">
        <f aca="false">$D$183*Calculations!G$7</f>
        <v>1487576.46363041</v>
      </c>
      <c r="H188" s="32" t="n">
        <f aca="false">$D$183*Calculations!H$7</f>
        <v>1487576.46363041</v>
      </c>
      <c r="I188" s="32" t="n">
        <f aca="false">$D$183*Calculations!I$7</f>
        <v>1487576.46363041</v>
      </c>
      <c r="J188" s="32" t="n">
        <f aca="false">$D$183*Calculations!J$7</f>
        <v>1487576.46363041</v>
      </c>
      <c r="K188" s="32" t="n">
        <f aca="false">$D$183*Calculations!K$7</f>
        <v>1487576.46363041</v>
      </c>
      <c r="L188" s="32" t="n">
        <f aca="false">$D$183*Calculations!L$7</f>
        <v>1487576.46363041</v>
      </c>
      <c r="M188" s="32" t="n">
        <f aca="false">$D$183*Calculations!M$7</f>
        <v>1487576.46363041</v>
      </c>
      <c r="N188" s="32" t="n">
        <f aca="false">$D$183*Calculations!N$7</f>
        <v>1487576.46363041</v>
      </c>
      <c r="O188" s="32" t="n">
        <f aca="false">$D$183*Calculations!O$7</f>
        <v>1487576.46363041</v>
      </c>
      <c r="P188" s="32" t="n">
        <f aca="false">$D$183*Calculations!P$7</f>
        <v>0</v>
      </c>
      <c r="Q188" s="32" t="n">
        <f aca="false">$D$183*Calculations!Q$7</f>
        <v>0</v>
      </c>
      <c r="R188" s="32" t="n">
        <f aca="false">$D$183*Calculations!R$7</f>
        <v>0</v>
      </c>
      <c r="S188" s="32" t="n">
        <f aca="false">$D$183*Calculations!S$7</f>
        <v>0</v>
      </c>
      <c r="T188" s="32" t="n">
        <f aca="false">$D$183*Calculations!T$7</f>
        <v>0</v>
      </c>
      <c r="U188" s="32" t="n">
        <f aca="false">$D$183*Calculations!U$7</f>
        <v>0</v>
      </c>
      <c r="V188" s="32" t="n">
        <f aca="false">$D$183*Calculations!V$7</f>
        <v>0</v>
      </c>
      <c r="W188" s="32" t="n">
        <f aca="false">$D$183*Calculations!W$7</f>
        <v>0</v>
      </c>
      <c r="X188" s="32" t="n">
        <f aca="false">$D$183*Calculations!X$7</f>
        <v>0</v>
      </c>
      <c r="Y188" s="32" t="n">
        <f aca="false">$D$183*Calculations!Y$7</f>
        <v>0</v>
      </c>
      <c r="Z188" s="32" t="n">
        <f aca="false">$D$183*Calculations!Z$7</f>
        <v>0</v>
      </c>
      <c r="AA188" s="32" t="n">
        <f aca="false">$D$183*Calculations!AA$7</f>
        <v>0</v>
      </c>
      <c r="AB188" s="32" t="n">
        <f aca="false">$D$183*Calculations!AB$7</f>
        <v>0</v>
      </c>
      <c r="AC188" s="32" t="n">
        <f aca="false">$D$183*Calculations!AC$7</f>
        <v>0</v>
      </c>
      <c r="AD188" s="32" t="n">
        <f aca="false">$D$183*Calculations!AD$7</f>
        <v>0</v>
      </c>
    </row>
    <row r="189" customFormat="false" ht="15" hidden="false" customHeight="false" outlineLevel="1" collapsed="false">
      <c r="B189" s="4" t="s">
        <v>275</v>
      </c>
      <c r="C189" s="24" t="s">
        <v>120</v>
      </c>
      <c r="F189" s="32" t="n">
        <f aca="false">F188-F187</f>
        <v>500876.46363041</v>
      </c>
      <c r="G189" s="32" t="n">
        <f aca="false">G188-G187</f>
        <v>558477.256947907</v>
      </c>
      <c r="H189" s="32" t="n">
        <f aca="false">H188-H187</f>
        <v>622702.141496916</v>
      </c>
      <c r="I189" s="32" t="n">
        <f aca="false">I188-I187</f>
        <v>694312.887769062</v>
      </c>
      <c r="J189" s="32" t="n">
        <f aca="false">J188-J187</f>
        <v>774158.869862504</v>
      </c>
      <c r="K189" s="32" t="n">
        <f aca="false">K188-K187</f>
        <v>863187.139896692</v>
      </c>
      <c r="L189" s="32" t="n">
        <f aca="false">L188-L187</f>
        <v>962453.660984811</v>
      </c>
      <c r="M189" s="32" t="n">
        <f aca="false">M188-M187</f>
        <v>1073135.83199806</v>
      </c>
      <c r="N189" s="32" t="n">
        <f aca="false">N188-N187</f>
        <v>1196546.45267784</v>
      </c>
      <c r="O189" s="32" t="n">
        <f aca="false">O188-O187</f>
        <v>1334149.29473579</v>
      </c>
      <c r="P189" s="32" t="n">
        <f aca="false">P188-P187</f>
        <v>0</v>
      </c>
      <c r="Q189" s="32" t="n">
        <f aca="false">Q188-Q187</f>
        <v>0</v>
      </c>
      <c r="R189" s="32" t="n">
        <f aca="false">R188-R187</f>
        <v>0</v>
      </c>
      <c r="S189" s="32" t="n">
        <f aca="false">S188-S187</f>
        <v>0</v>
      </c>
      <c r="T189" s="32" t="n">
        <f aca="false">T188-T187</f>
        <v>0</v>
      </c>
      <c r="U189" s="32" t="n">
        <f aca="false">U188-U187</f>
        <v>0</v>
      </c>
      <c r="V189" s="32" t="n">
        <f aca="false">V188-V187</f>
        <v>0</v>
      </c>
      <c r="W189" s="32" t="n">
        <f aca="false">W188-W187</f>
        <v>0</v>
      </c>
      <c r="X189" s="32" t="n">
        <f aca="false">X188-X187</f>
        <v>0</v>
      </c>
      <c r="Y189" s="32" t="n">
        <f aca="false">Y188-Y187</f>
        <v>0</v>
      </c>
      <c r="Z189" s="32" t="n">
        <f aca="false">Z188-Z187</f>
        <v>0</v>
      </c>
      <c r="AA189" s="32" t="n">
        <f aca="false">AA188-AA187</f>
        <v>0</v>
      </c>
      <c r="AB189" s="32" t="n">
        <f aca="false">AB188-AB187</f>
        <v>0</v>
      </c>
      <c r="AC189" s="32" t="n">
        <f aca="false">AC188-AC187</f>
        <v>0</v>
      </c>
      <c r="AD189" s="32" t="n">
        <f aca="false">AD188-AD187</f>
        <v>0</v>
      </c>
    </row>
    <row r="190" customFormat="false" ht="15" hidden="false" customHeight="false" outlineLevel="1" collapsed="false">
      <c r="B190" s="4" t="s">
        <v>276</v>
      </c>
      <c r="C190" s="24" t="s">
        <v>120</v>
      </c>
      <c r="E190" s="32" t="n">
        <f aca="false">$D$182</f>
        <v>8580000</v>
      </c>
      <c r="F190" s="32" t="n">
        <f aca="false">E190-F189</f>
        <v>8079123.53636959</v>
      </c>
      <c r="G190" s="32" t="n">
        <f aca="false">F190-G189</f>
        <v>7520646.27942169</v>
      </c>
      <c r="H190" s="32" t="n">
        <f aca="false">G190-H189</f>
        <v>6897944.13792477</v>
      </c>
      <c r="I190" s="32" t="n">
        <f aca="false">H190-I189</f>
        <v>6203631.25015571</v>
      </c>
      <c r="J190" s="32" t="n">
        <f aca="false">I190-J189</f>
        <v>5429472.3802932</v>
      </c>
      <c r="K190" s="32" t="n">
        <f aca="false">J190-K189</f>
        <v>4566285.24039651</v>
      </c>
      <c r="L190" s="32" t="n">
        <f aca="false">K190-L189</f>
        <v>3603831.5794117</v>
      </c>
      <c r="M190" s="32" t="n">
        <f aca="false">L190-M189</f>
        <v>2530695.74741364</v>
      </c>
      <c r="N190" s="32" t="n">
        <f aca="false">M190-N189</f>
        <v>1334149.29473579</v>
      </c>
      <c r="O190" s="32" t="n">
        <f aca="false">N190-O189</f>
        <v>0</v>
      </c>
      <c r="P190" s="32" t="n">
        <f aca="false">O190-P189</f>
        <v>0</v>
      </c>
      <c r="Q190" s="32" t="n">
        <f aca="false">P190-Q189</f>
        <v>0</v>
      </c>
      <c r="R190" s="32" t="n">
        <f aca="false">Q190-R189</f>
        <v>0</v>
      </c>
      <c r="S190" s="32" t="n">
        <f aca="false">R190-S189</f>
        <v>0</v>
      </c>
      <c r="T190" s="32" t="n">
        <f aca="false">S190-T189</f>
        <v>0</v>
      </c>
      <c r="U190" s="32" t="n">
        <f aca="false">T190-U189</f>
        <v>0</v>
      </c>
      <c r="V190" s="32" t="n">
        <f aca="false">U190-V189</f>
        <v>0</v>
      </c>
      <c r="W190" s="32" t="n">
        <f aca="false">V190-W189</f>
        <v>0</v>
      </c>
      <c r="X190" s="32" t="n">
        <f aca="false">W190-X189</f>
        <v>0</v>
      </c>
      <c r="Y190" s="32" t="n">
        <f aca="false">X190-Y189</f>
        <v>0</v>
      </c>
      <c r="Z190" s="32" t="n">
        <f aca="false">Y190-Z189</f>
        <v>0</v>
      </c>
      <c r="AA190" s="32" t="n">
        <f aca="false">Z190-AA189</f>
        <v>0</v>
      </c>
      <c r="AB190" s="32" t="n">
        <f aca="false">AA190-AB189</f>
        <v>0</v>
      </c>
      <c r="AC190" s="32" t="n">
        <f aca="false">AB190-AC189</f>
        <v>0</v>
      </c>
      <c r="AD190" s="32" t="n">
        <f aca="false">AC190-AD189</f>
        <v>0</v>
      </c>
    </row>
    <row r="191" customFormat="false" ht="15" hidden="false" customHeight="false" outlineLevel="1" collapsed="false">
      <c r="B191" s="4" t="s">
        <v>277</v>
      </c>
      <c r="C191" s="24" t="s">
        <v>120</v>
      </c>
      <c r="F191" s="32" t="n">
        <f aca="false">Calculations!F$20*$D$180</f>
        <v>13200000</v>
      </c>
      <c r="G191" s="32" t="n">
        <f aca="false">Calculations!G$20*$D$180</f>
        <v>0</v>
      </c>
      <c r="H191" s="32" t="n">
        <f aca="false">Calculations!H$20*$D$180</f>
        <v>0</v>
      </c>
      <c r="I191" s="32" t="n">
        <f aca="false">Calculations!I$20*$D$180</f>
        <v>0</v>
      </c>
      <c r="J191" s="32" t="n">
        <f aca="false">Calculations!J$20*$D$180</f>
        <v>0</v>
      </c>
      <c r="K191" s="32" t="n">
        <f aca="false">Calculations!K$20*$D$180</f>
        <v>0</v>
      </c>
      <c r="L191" s="32" t="n">
        <f aca="false">Calculations!L$20*$D$180</f>
        <v>0</v>
      </c>
      <c r="M191" s="32" t="n">
        <f aca="false">Calculations!M$20*$D$180</f>
        <v>0</v>
      </c>
      <c r="N191" s="32" t="n">
        <f aca="false">Calculations!N$20*$D$180</f>
        <v>0</v>
      </c>
      <c r="O191" s="32" t="n">
        <f aca="false">Calculations!O$20*$D$180</f>
        <v>0</v>
      </c>
      <c r="P191" s="32" t="n">
        <f aca="false">Calculations!P$20*$D$180</f>
        <v>0</v>
      </c>
      <c r="Q191" s="32" t="n">
        <f aca="false">Calculations!Q$20*$D$180</f>
        <v>0</v>
      </c>
      <c r="R191" s="32" t="n">
        <f aca="false">Calculations!R$20*$D$180</f>
        <v>0</v>
      </c>
      <c r="S191" s="32" t="n">
        <f aca="false">Calculations!S$20*$D$180</f>
        <v>0</v>
      </c>
      <c r="T191" s="32" t="n">
        <f aca="false">Calculations!T$20*$D$180</f>
        <v>0</v>
      </c>
      <c r="U191" s="32" t="n">
        <f aca="false">Calculations!U$20*$D$180</f>
        <v>0</v>
      </c>
      <c r="V191" s="32" t="n">
        <f aca="false">Calculations!V$20*$D$180</f>
        <v>0</v>
      </c>
      <c r="W191" s="32" t="n">
        <f aca="false">Calculations!W$20*$D$180</f>
        <v>0</v>
      </c>
      <c r="X191" s="32" t="n">
        <f aca="false">Calculations!X$20*$D$180</f>
        <v>0</v>
      </c>
      <c r="Y191" s="32" t="n">
        <f aca="false">Calculations!Y$20*$D$180</f>
        <v>0</v>
      </c>
      <c r="Z191" s="32" t="n">
        <f aca="false">Calculations!Z$20*$D$180</f>
        <v>0</v>
      </c>
      <c r="AA191" s="32" t="n">
        <f aca="false">Calculations!AA$20*$D$180</f>
        <v>0</v>
      </c>
      <c r="AB191" s="32" t="n">
        <f aca="false">Calculations!AB$20*$D$180</f>
        <v>0</v>
      </c>
      <c r="AC191" s="32" t="n">
        <f aca="false">Calculations!AC$20*$D$180</f>
        <v>0</v>
      </c>
      <c r="AD191" s="32" t="n">
        <f aca="false">Calculations!AD$20*$D$180</f>
        <v>0</v>
      </c>
    </row>
    <row r="192" customFormat="false" ht="15" hidden="false" customHeight="false" outlineLevel="1" collapsed="false">
      <c r="B192" s="4" t="s">
        <v>169</v>
      </c>
      <c r="C192" s="24" t="s">
        <v>120</v>
      </c>
      <c r="F192" s="32" t="n">
        <f aca="false">F186-F187-F191</f>
        <v>-12658950</v>
      </c>
      <c r="G192" s="32" t="n">
        <f aca="false">G186-G187-G191</f>
        <v>674568.662067497</v>
      </c>
      <c r="H192" s="32" t="n">
        <f aca="false">H186-H187-H191</f>
        <v>818483.9563901</v>
      </c>
      <c r="I192" s="32" t="n">
        <f aca="false">I186-I187-I191</f>
        <v>973745.11931183</v>
      </c>
      <c r="J192" s="32" t="n">
        <f aca="false">J186-J187-J191</f>
        <v>1141398.30633526</v>
      </c>
      <c r="K192" s="32" t="n">
        <f aca="false">K186-K187-K191</f>
        <v>1322597.1294427</v>
      </c>
      <c r="L192" s="32" t="n">
        <f aca="false">L186-L187-L191</f>
        <v>1518614.37597768</v>
      </c>
      <c r="M192" s="32" t="n">
        <f aca="false">M186-M187-M191</f>
        <v>1730855.04346376</v>
      </c>
      <c r="N192" s="32" t="n">
        <f aca="false">N186-N187-N191</f>
        <v>1960870.84011677</v>
      </c>
      <c r="O192" s="32" t="n">
        <f aca="false">O186-O187-O191</f>
        <v>2210376.31794967</v>
      </c>
      <c r="P192" s="32" t="n">
        <f aca="false">P186-P187-P191</f>
        <v>2481266.82448093</v>
      </c>
      <c r="Q192" s="32" t="n">
        <f aca="false">Q186-Q187-Q191</f>
        <v>2604567.18704422</v>
      </c>
      <c r="R192" s="32" t="n">
        <f aca="false">R186-R187-R191</f>
        <v>2733994.62862177</v>
      </c>
      <c r="S192" s="32" t="n">
        <f aca="false">S186-S187-S191</f>
        <v>2869853.61664185</v>
      </c>
      <c r="T192" s="32" t="n">
        <f aca="false">T186-T187-T191</f>
        <v>3012463.74809682</v>
      </c>
      <c r="U192" s="32" t="n">
        <f aca="false">U186-U187-U191</f>
        <v>3162160.50135676</v>
      </c>
      <c r="V192" s="32" t="n">
        <f aca="false">V186-V187-V191</f>
        <v>3319296.02534184</v>
      </c>
      <c r="W192" s="32" t="n">
        <f aca="false">W186-W187-W191</f>
        <v>3484239.96790984</v>
      </c>
      <c r="X192" s="32" t="n">
        <f aca="false">X186-X187-X191</f>
        <v>3657380.34540743</v>
      </c>
      <c r="Y192" s="32" t="n">
        <f aca="false">Y186-Y187-Y191</f>
        <v>3839124.45543074</v>
      </c>
      <c r="Z192" s="32" t="n">
        <f aca="false">Z186-Z187-Z191</f>
        <v>0</v>
      </c>
      <c r="AA192" s="32" t="n">
        <f aca="false">AA186-AA187-AA191</f>
        <v>0</v>
      </c>
      <c r="AB192" s="32" t="n">
        <f aca="false">AB186-AB187-AB191</f>
        <v>0</v>
      </c>
      <c r="AC192" s="32" t="n">
        <f aca="false">AC186-AC187-AC191</f>
        <v>0</v>
      </c>
      <c r="AD192" s="32" t="n">
        <f aca="false">AD186-AD187-AD191</f>
        <v>0</v>
      </c>
    </row>
    <row r="193" customFormat="false" ht="15" hidden="false" customHeight="false" outlineLevel="1" collapsed="false">
      <c r="B193" s="4" t="s">
        <v>172</v>
      </c>
      <c r="C193" s="24" t="s">
        <v>120</v>
      </c>
      <c r="F193" s="32" t="n">
        <f aca="false">MAX(0,E193-F192)</f>
        <v>12658950</v>
      </c>
      <c r="G193" s="32" t="n">
        <f aca="false">MAX(0,F193-G192)</f>
        <v>11984381.3379325</v>
      </c>
      <c r="H193" s="32" t="n">
        <f aca="false">MAX(0,G193-H192)</f>
        <v>11165897.3815424</v>
      </c>
      <c r="I193" s="32" t="n">
        <f aca="false">MAX(0,H193-I192)</f>
        <v>10192152.2622306</v>
      </c>
      <c r="J193" s="32" t="n">
        <f aca="false">MAX(0,I193-J192)</f>
        <v>9050753.95589532</v>
      </c>
      <c r="K193" s="32" t="n">
        <f aca="false">MAX(0,J193-K192)</f>
        <v>7728156.82645262</v>
      </c>
      <c r="L193" s="32" t="n">
        <f aca="false">MAX(0,K193-L192)</f>
        <v>6209542.45047494</v>
      </c>
      <c r="M193" s="32" t="n">
        <f aca="false">MAX(0,L193-M192)</f>
        <v>4478687.40701118</v>
      </c>
      <c r="N193" s="32" t="n">
        <f aca="false">MAX(0,M193-N192)</f>
        <v>2517816.56689441</v>
      </c>
      <c r="O193" s="32" t="n">
        <f aca="false">MAX(0,N193-O192)</f>
        <v>307440.248944739</v>
      </c>
      <c r="P193" s="32" t="n">
        <f aca="false">MAX(0,O193-P192)</f>
        <v>0</v>
      </c>
      <c r="Q193" s="32" t="n">
        <f aca="false">MAX(0,P193-Q192)</f>
        <v>0</v>
      </c>
      <c r="R193" s="32" t="n">
        <f aca="false">MAX(0,Q193-R192)</f>
        <v>0</v>
      </c>
      <c r="S193" s="32" t="n">
        <f aca="false">MAX(0,R193-S192)</f>
        <v>0</v>
      </c>
      <c r="T193" s="32" t="n">
        <f aca="false">MAX(0,S193-T192)</f>
        <v>0</v>
      </c>
      <c r="U193" s="32" t="n">
        <f aca="false">MAX(0,T193-U192)</f>
        <v>0</v>
      </c>
      <c r="V193" s="32" t="n">
        <f aca="false">MAX(0,U193-V192)</f>
        <v>0</v>
      </c>
      <c r="W193" s="32" t="n">
        <f aca="false">MAX(0,V193-W192)</f>
        <v>0</v>
      </c>
      <c r="X193" s="32" t="n">
        <f aca="false">MAX(0,W193-X192)</f>
        <v>0</v>
      </c>
      <c r="Y193" s="32" t="n">
        <f aca="false">MAX(0,X193-Y192)</f>
        <v>0</v>
      </c>
      <c r="Z193" s="32" t="n">
        <f aca="false">MAX(0,Y193-Z192)</f>
        <v>0</v>
      </c>
      <c r="AA193" s="32" t="n">
        <f aca="false">MAX(0,Z193-AA192)</f>
        <v>0</v>
      </c>
      <c r="AB193" s="32" t="n">
        <f aca="false">MAX(0,AA193-AB192)</f>
        <v>0</v>
      </c>
      <c r="AC193" s="32" t="n">
        <f aca="false">MAX(0,AB193-AC192)</f>
        <v>0</v>
      </c>
      <c r="AD193" s="32" t="n">
        <f aca="false">MAX(0,AC193-AD192)</f>
        <v>0</v>
      </c>
    </row>
    <row r="194" customFormat="false" ht="15" hidden="false" customHeight="false" outlineLevel="1" collapsed="false">
      <c r="B194" s="4" t="s">
        <v>173</v>
      </c>
      <c r="C194" s="24" t="s">
        <v>120</v>
      </c>
      <c r="F194" s="32" t="n">
        <f aca="false">Tax_Rate*MAX(0,F192-E193)</f>
        <v>0</v>
      </c>
      <c r="G194" s="32" t="n">
        <f aca="false">Tax_Rate*MAX(0,G192-F193)</f>
        <v>0</v>
      </c>
      <c r="H194" s="32" t="n">
        <f aca="false">Tax_Rate*MAX(0,H192-G193)</f>
        <v>0</v>
      </c>
      <c r="I194" s="32" t="n">
        <f aca="false">Tax_Rate*MAX(0,I192-H193)</f>
        <v>0</v>
      </c>
      <c r="J194" s="32" t="n">
        <f aca="false">Tax_Rate*MAX(0,J192-I193)</f>
        <v>0</v>
      </c>
      <c r="K194" s="32" t="n">
        <f aca="false">Tax_Rate*MAX(0,K192-J193)</f>
        <v>0</v>
      </c>
      <c r="L194" s="32" t="n">
        <f aca="false">Tax_Rate*MAX(0,L192-K193)</f>
        <v>0</v>
      </c>
      <c r="M194" s="32" t="n">
        <f aca="false">Tax_Rate*MAX(0,M192-L193)</f>
        <v>0</v>
      </c>
      <c r="N194" s="32" t="n">
        <f aca="false">Tax_Rate*MAX(0,N192-M193)</f>
        <v>0</v>
      </c>
      <c r="O194" s="32" t="n">
        <f aca="false">Tax_Rate*MAX(0,O192-N193)</f>
        <v>0</v>
      </c>
      <c r="P194" s="32" t="n">
        <f aca="false">Tax_Rate*MAX(0,P192-O193)</f>
        <v>586933.175394772</v>
      </c>
      <c r="Q194" s="32" t="n">
        <f aca="false">Tax_Rate*MAX(0,Q192-P193)</f>
        <v>703233.14050194</v>
      </c>
      <c r="R194" s="32" t="n">
        <f aca="false">Tax_Rate*MAX(0,R192-Q193)</f>
        <v>738178.549727878</v>
      </c>
      <c r="S194" s="32" t="n">
        <f aca="false">Tax_Rate*MAX(0,S192-R193)</f>
        <v>774860.476493299</v>
      </c>
      <c r="T194" s="32" t="n">
        <f aca="false">Tax_Rate*MAX(0,T192-S193)</f>
        <v>813365.211986141</v>
      </c>
      <c r="U194" s="32" t="n">
        <f aca="false">Tax_Rate*MAX(0,U192-T193)</f>
        <v>853783.335366326</v>
      </c>
      <c r="V194" s="32" t="n">
        <f aca="false">Tax_Rate*MAX(0,V192-U193)</f>
        <v>896209.926842298</v>
      </c>
      <c r="W194" s="32" t="n">
        <f aca="false">Tax_Rate*MAX(0,W192-V193)</f>
        <v>940744.791335658</v>
      </c>
      <c r="X194" s="32" t="n">
        <f aca="false">Tax_Rate*MAX(0,X192-W193)</f>
        <v>987492.693260006</v>
      </c>
      <c r="Y194" s="32" t="n">
        <f aca="false">Tax_Rate*MAX(0,Y192-X193)</f>
        <v>1036563.6029663</v>
      </c>
      <c r="Z194" s="32" t="n">
        <f aca="false">Tax_Rate*MAX(0,Z192-Y193)</f>
        <v>0</v>
      </c>
      <c r="AA194" s="32" t="n">
        <f aca="false">Tax_Rate*MAX(0,AA192-Z193)</f>
        <v>0</v>
      </c>
      <c r="AB194" s="32" t="n">
        <f aca="false">Tax_Rate*MAX(0,AB192-AA193)</f>
        <v>0</v>
      </c>
      <c r="AC194" s="32" t="n">
        <f aca="false">Tax_Rate*MAX(0,AC192-AB193)</f>
        <v>0</v>
      </c>
      <c r="AD194" s="32" t="n">
        <f aca="false">Tax_Rate*MAX(0,AD192-AC193)</f>
        <v>0</v>
      </c>
    </row>
    <row r="195" customFormat="false" ht="15" hidden="false" customHeight="false" outlineLevel="1" collapsed="false">
      <c r="B195" s="4" t="s">
        <v>176</v>
      </c>
      <c r="C195" s="24" t="s">
        <v>120</v>
      </c>
      <c r="F195" s="32" t="n">
        <f aca="false">F186-F194</f>
        <v>1527750</v>
      </c>
      <c r="G195" s="32" t="n">
        <f aca="false">G186-G194</f>
        <v>1603667.86875</v>
      </c>
      <c r="H195" s="32" t="n">
        <f aca="false">H186-H194</f>
        <v>1683358.27852359</v>
      </c>
      <c r="I195" s="32" t="n">
        <f aca="false">I186-I194</f>
        <v>1767008.69517318</v>
      </c>
      <c r="J195" s="32" t="n">
        <f aca="false">J186-J194</f>
        <v>1854815.90010317</v>
      </c>
      <c r="K195" s="32" t="n">
        <f aca="false">K186-K194</f>
        <v>1946986.45317642</v>
      </c>
      <c r="L195" s="32" t="n">
        <f aca="false">L186-L194</f>
        <v>2043737.17862327</v>
      </c>
      <c r="M195" s="32" t="n">
        <f aca="false">M186-M194</f>
        <v>2145295.6750961</v>
      </c>
      <c r="N195" s="32" t="n">
        <f aca="false">N186-N194</f>
        <v>2251900.85106934</v>
      </c>
      <c r="O195" s="32" t="n">
        <f aca="false">O186-O194</f>
        <v>2363803.48684429</v>
      </c>
      <c r="P195" s="32" t="n">
        <f aca="false">P186-P194</f>
        <v>1894333.64908616</v>
      </c>
      <c r="Q195" s="32" t="n">
        <f aca="false">Q186-Q194</f>
        <v>1901334.04654228</v>
      </c>
      <c r="R195" s="32" t="n">
        <f aca="false">R186-R194</f>
        <v>1995816.07889389</v>
      </c>
      <c r="S195" s="32" t="n">
        <f aca="false">S186-S194</f>
        <v>2094993.14014855</v>
      </c>
      <c r="T195" s="32" t="n">
        <f aca="false">T186-T194</f>
        <v>2199098.53611068</v>
      </c>
      <c r="U195" s="32" t="n">
        <f aca="false">U186-U194</f>
        <v>2308377.16599044</v>
      </c>
      <c r="V195" s="32" t="n">
        <f aca="false">V186-V194</f>
        <v>2423086.09849955</v>
      </c>
      <c r="W195" s="32" t="n">
        <f aca="false">W186-W194</f>
        <v>2543495.17657418</v>
      </c>
      <c r="X195" s="32" t="n">
        <f aca="false">X186-X194</f>
        <v>2669887.65214742</v>
      </c>
      <c r="Y195" s="32" t="n">
        <f aca="false">Y186-Y194</f>
        <v>2802560.85246444</v>
      </c>
      <c r="Z195" s="32" t="n">
        <f aca="false">Z186-Z194</f>
        <v>0</v>
      </c>
      <c r="AA195" s="32" t="n">
        <f aca="false">AA186-AA194</f>
        <v>0</v>
      </c>
      <c r="AB195" s="32" t="n">
        <f aca="false">AB186-AB194</f>
        <v>0</v>
      </c>
      <c r="AC195" s="32" t="n">
        <f aca="false">AC186-AC194</f>
        <v>0</v>
      </c>
      <c r="AD195" s="32" t="n">
        <f aca="false">AD186-AD194</f>
        <v>0</v>
      </c>
    </row>
    <row r="196" customFormat="false" ht="15" hidden="false" customHeight="false" outlineLevel="1" collapsed="false">
      <c r="B196" s="4" t="s">
        <v>278</v>
      </c>
      <c r="C196" s="24" t="s">
        <v>111</v>
      </c>
      <c r="F196" s="62" t="n">
        <f aca="false">IF(AND(Calculations!F$7=1,F188&gt;0),F195/F188,"")</f>
        <v>1.02700603118683</v>
      </c>
      <c r="G196" s="62" t="n">
        <f aca="false">IF(AND(Calculations!G$7=1,G188&gt;0),G195/G188,"")</f>
        <v>1.07804063048717</v>
      </c>
      <c r="H196" s="62" t="n">
        <f aca="false">IF(AND(Calculations!H$7=1,H188&gt;0),H195/H188,"")</f>
        <v>1.1316112614577</v>
      </c>
      <c r="I196" s="62" t="n">
        <f aca="false">IF(AND(Calculations!I$7=1,I188&gt;0),I195/I188,"")</f>
        <v>1.18784394508422</v>
      </c>
      <c r="J196" s="62" t="n">
        <f aca="false">IF(AND(Calculations!J$7=1,J188&gt;0),J195/J188,"")</f>
        <v>1.2468709645866</v>
      </c>
      <c r="K196" s="62" t="n">
        <f aca="false">IF(AND(Calculations!K$7=1,K188&gt;0),K195/K188,"")</f>
        <v>1.30883117660038</v>
      </c>
      <c r="L196" s="62" t="n">
        <f aca="false">IF(AND(Calculations!L$7=1,L188&gt;0),L195/L188,"")</f>
        <v>1.37387033782153</v>
      </c>
      <c r="M196" s="62" t="n">
        <f aca="false">IF(AND(Calculations!M$7=1,M188&gt;0),M195/M188,"")</f>
        <v>1.44214144788264</v>
      </c>
      <c r="N196" s="62" t="n">
        <f aca="false">IF(AND(Calculations!N$7=1,N188&gt;0),N195/N188,"")</f>
        <v>1.51380510926719</v>
      </c>
      <c r="O196" s="62" t="n">
        <f aca="false">IF(AND(Calculations!O$7=1,O188&gt;0),O195/O188,"")</f>
        <v>1.58902990510852</v>
      </c>
      <c r="P196" s="62" t="str">
        <f aca="false">IF(AND(Calculations!P$7=1,P188&gt;0),P195/P188,"")</f>
        <v/>
      </c>
      <c r="Q196" s="62" t="str">
        <f aca="false">IF(AND(Calculations!Q$7=1,Q188&gt;0),Q195/Q188,"")</f>
        <v/>
      </c>
      <c r="R196" s="62" t="str">
        <f aca="false">IF(AND(Calculations!R$7=1,R188&gt;0),R195/R188,"")</f>
        <v/>
      </c>
      <c r="S196" s="62" t="str">
        <f aca="false">IF(AND(Calculations!S$7=1,S188&gt;0),S195/S188,"")</f>
        <v/>
      </c>
      <c r="T196" s="62" t="str">
        <f aca="false">IF(AND(Calculations!T$7=1,T188&gt;0),T195/T188,"")</f>
        <v/>
      </c>
      <c r="U196" s="62" t="str">
        <f aca="false">IF(AND(Calculations!U$7=1,U188&gt;0),U195/U188,"")</f>
        <v/>
      </c>
      <c r="V196" s="62" t="str">
        <f aca="false">IF(AND(Calculations!V$7=1,V188&gt;0),V195/V188,"")</f>
        <v/>
      </c>
      <c r="W196" s="62" t="str">
        <f aca="false">IF(AND(Calculations!W$7=1,W188&gt;0),W195/W188,"")</f>
        <v/>
      </c>
      <c r="X196" s="62" t="str">
        <f aca="false">IF(AND(Calculations!X$7=1,X188&gt;0),X195/X188,"")</f>
        <v/>
      </c>
      <c r="Y196" s="62" t="str">
        <f aca="false">IF(AND(Calculations!Y$7=1,Y188&gt;0),Y195/Y188,"")</f>
        <v/>
      </c>
      <c r="Z196" s="62" t="str">
        <f aca="false">IF(AND(Calculations!Z$7=1,Z188&gt;0),Z195/Z188,"")</f>
        <v/>
      </c>
      <c r="AA196" s="62" t="str">
        <f aca="false">IF(AND(Calculations!AA$7=1,AA188&gt;0),AA195/AA188,"")</f>
        <v/>
      </c>
      <c r="AB196" s="62" t="str">
        <f aca="false">IF(AND(Calculations!AB$7=1,AB188&gt;0),AB195/AB188,"")</f>
        <v/>
      </c>
      <c r="AC196" s="62" t="str">
        <f aca="false">IF(AND(Calculations!AC$7=1,AC188&gt;0),AC195/AC188,"")</f>
        <v/>
      </c>
      <c r="AD196" s="62" t="str">
        <f aca="false">IF(AND(Calculations!AD$7=1,AD188&gt;0),AD195/AD188,"")</f>
        <v/>
      </c>
    </row>
    <row r="197" customFormat="false" ht="15" hidden="false" customHeight="false" outlineLevel="1" collapsed="false">
      <c r="B197" s="4" t="s">
        <v>182</v>
      </c>
      <c r="C197" s="24" t="s">
        <v>120</v>
      </c>
      <c r="E197" s="32" t="n">
        <f aca="false">-($D$181-$D$182)</f>
        <v>-4620000</v>
      </c>
      <c r="F197" s="32" t="n">
        <f aca="false">F195-F188</f>
        <v>40173.5363695896</v>
      </c>
      <c r="G197" s="32" t="n">
        <f aca="false">G195-G188</f>
        <v>116091.40511959</v>
      </c>
      <c r="H197" s="32" t="n">
        <f aca="false">H195-H188</f>
        <v>195781.814893183</v>
      </c>
      <c r="I197" s="32" t="n">
        <f aca="false">I195-I188</f>
        <v>279432.231542769</v>
      </c>
      <c r="J197" s="32" t="n">
        <f aca="false">J195-J188</f>
        <v>367239.436472755</v>
      </c>
      <c r="K197" s="32" t="n">
        <f aca="false">K195-K188</f>
        <v>459409.98954601</v>
      </c>
      <c r="L197" s="32" t="n">
        <f aca="false">L195-L188</f>
        <v>556160.714992864</v>
      </c>
      <c r="M197" s="32" t="n">
        <f aca="false">M195-M188</f>
        <v>657719.211465694</v>
      </c>
      <c r="N197" s="32" t="n">
        <f aca="false">N195-N188</f>
        <v>764324.387438927</v>
      </c>
      <c r="O197" s="32" t="n">
        <f aca="false">O195-O188</f>
        <v>876227.023213881</v>
      </c>
      <c r="P197" s="32" t="n">
        <f aca="false">P195-P188</f>
        <v>1894333.64908616</v>
      </c>
      <c r="Q197" s="32" t="n">
        <f aca="false">Q195-Q188</f>
        <v>1901334.04654228</v>
      </c>
      <c r="R197" s="32" t="n">
        <f aca="false">R195-R188</f>
        <v>1995816.07889389</v>
      </c>
      <c r="S197" s="32" t="n">
        <f aca="false">S195-S188</f>
        <v>2094993.14014855</v>
      </c>
      <c r="T197" s="32" t="n">
        <f aca="false">T195-T188</f>
        <v>2199098.53611068</v>
      </c>
      <c r="U197" s="32" t="n">
        <f aca="false">U195-U188</f>
        <v>2308377.16599044</v>
      </c>
      <c r="V197" s="32" t="n">
        <f aca="false">V195-V188</f>
        <v>2423086.09849955</v>
      </c>
      <c r="W197" s="32" t="n">
        <f aca="false">W195-W188</f>
        <v>2543495.17657418</v>
      </c>
      <c r="X197" s="32" t="n">
        <f aca="false">X195-X188</f>
        <v>2669887.65214742</v>
      </c>
      <c r="Y197" s="32" t="n">
        <f aca="false">Y195-Y188</f>
        <v>2802560.85246444</v>
      </c>
      <c r="Z197" s="32" t="n">
        <f aca="false">Z195-Z188</f>
        <v>0</v>
      </c>
      <c r="AA197" s="32" t="n">
        <f aca="false">AA195-AA188</f>
        <v>0</v>
      </c>
      <c r="AB197" s="32" t="n">
        <f aca="false">AB195-AB188</f>
        <v>0</v>
      </c>
      <c r="AC197" s="32" t="n">
        <f aca="false">AC195-AC188</f>
        <v>0</v>
      </c>
      <c r="AD197" s="32" t="n">
        <f aca="false">AD195-AD188</f>
        <v>0</v>
      </c>
    </row>
    <row r="198" customFormat="false" ht="15" hidden="false" customHeight="false" outlineLevel="1" collapsed="false">
      <c r="B198" s="3" t="s">
        <v>208</v>
      </c>
      <c r="C198" s="24" t="s">
        <v>97</v>
      </c>
      <c r="D198" s="76" t="n">
        <f aca="false">IRR(E197:AD197)</f>
        <v>0.143839204987281</v>
      </c>
    </row>
    <row r="199" customFormat="false" ht="15" hidden="false" customHeight="false" outlineLevel="1" collapsed="false">
      <c r="B199" s="3" t="s">
        <v>210</v>
      </c>
      <c r="C199" s="24" t="s">
        <v>111</v>
      </c>
      <c r="D199" s="49" t="n">
        <f aca="false">MIN(F196:AD196)</f>
        <v>1.02700603118683</v>
      </c>
    </row>
    <row r="200" customFormat="false" ht="15" hidden="false" customHeight="false" outlineLevel="1" collapsed="false">
      <c r="B200" s="3" t="s">
        <v>262</v>
      </c>
      <c r="C200" s="24" t="s">
        <v>120</v>
      </c>
      <c r="D200" s="44" t="n">
        <f aca="false">E197+NPV(Equity_Discount_Rate,F197:AD197)</f>
        <v>-690806.851238682</v>
      </c>
    </row>
    <row r="202" customFormat="false" ht="15" hidden="false" customHeight="false" outlineLevel="0" collapsed="false">
      <c r="B202" s="21" t="s">
        <v>285</v>
      </c>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row>
    <row r="203" customFormat="false" ht="15" hidden="false" customHeight="false" outlineLevel="1" collapsed="false">
      <c r="B203" s="4" t="s">
        <v>258</v>
      </c>
      <c r="C203" s="24" t="s">
        <v>111</v>
      </c>
      <c r="D203" s="62" t="n">
        <f aca="false">1</f>
        <v>1</v>
      </c>
    </row>
    <row r="204" customFormat="false" ht="15" hidden="false" customHeight="false" outlineLevel="1" collapsed="false">
      <c r="B204" s="4" t="s">
        <v>259</v>
      </c>
      <c r="C204" s="24" t="s">
        <v>111</v>
      </c>
      <c r="D204" s="62" t="n">
        <f aca="false">1+Sens_Capex_Flex</f>
        <v>1.1</v>
      </c>
    </row>
    <row r="205" customFormat="false" ht="15" hidden="false" customHeight="false" outlineLevel="1" collapsed="false">
      <c r="B205" s="4" t="s">
        <v>271</v>
      </c>
      <c r="C205" s="24" t="s">
        <v>120</v>
      </c>
      <c r="D205" s="32" t="n">
        <f aca="false">Capex_Total*D204</f>
        <v>13200000</v>
      </c>
    </row>
    <row r="206" customFormat="false" ht="15" hidden="false" customHeight="false" outlineLevel="1" collapsed="false">
      <c r="B206" s="4" t="s">
        <v>272</v>
      </c>
      <c r="C206" s="24" t="s">
        <v>120</v>
      </c>
      <c r="D206" s="32" t="n">
        <f aca="false">D205*Gearing</f>
        <v>8580000</v>
      </c>
    </row>
    <row r="207" customFormat="false" ht="15" hidden="false" customHeight="false" outlineLevel="1" collapsed="false">
      <c r="B207" s="4" t="s">
        <v>273</v>
      </c>
      <c r="C207" s="24" t="s">
        <v>120</v>
      </c>
      <c r="D207" s="32" t="n">
        <f aca="false">-PMT(Interest_Rate,Debt_Tenor,D206)</f>
        <v>1487576.46363041</v>
      </c>
    </row>
    <row r="208" customFormat="false" ht="15" hidden="false" customHeight="false" outlineLevel="1" collapsed="false">
      <c r="B208" s="4" t="s">
        <v>144</v>
      </c>
      <c r="C208" s="24"/>
      <c r="E208" s="75" t="n">
        <f aca="false">Calculations!E$5</f>
        <v>0</v>
      </c>
      <c r="F208" s="75" t="n">
        <f aca="false">Calculations!F$5</f>
        <v>1</v>
      </c>
      <c r="G208" s="75" t="n">
        <f aca="false">Calculations!G$5</f>
        <v>2</v>
      </c>
      <c r="H208" s="75" t="n">
        <f aca="false">Calculations!H$5</f>
        <v>3</v>
      </c>
      <c r="I208" s="75" t="n">
        <f aca="false">Calculations!I$5</f>
        <v>4</v>
      </c>
      <c r="J208" s="75" t="n">
        <f aca="false">Calculations!J$5</f>
        <v>5</v>
      </c>
      <c r="K208" s="75" t="n">
        <f aca="false">Calculations!K$5</f>
        <v>6</v>
      </c>
      <c r="L208" s="75" t="n">
        <f aca="false">Calculations!L$5</f>
        <v>7</v>
      </c>
      <c r="M208" s="75" t="n">
        <f aca="false">Calculations!M$5</f>
        <v>8</v>
      </c>
      <c r="N208" s="75" t="n">
        <f aca="false">Calculations!N$5</f>
        <v>9</v>
      </c>
      <c r="O208" s="75" t="n">
        <f aca="false">Calculations!O$5</f>
        <v>10</v>
      </c>
      <c r="P208" s="75" t="n">
        <f aca="false">Calculations!P$5</f>
        <v>11</v>
      </c>
      <c r="Q208" s="75" t="n">
        <f aca="false">Calculations!Q$5</f>
        <v>12</v>
      </c>
      <c r="R208" s="75" t="n">
        <f aca="false">Calculations!R$5</f>
        <v>13</v>
      </c>
      <c r="S208" s="75" t="n">
        <f aca="false">Calculations!S$5</f>
        <v>14</v>
      </c>
      <c r="T208" s="75" t="n">
        <f aca="false">Calculations!T$5</f>
        <v>15</v>
      </c>
      <c r="U208" s="75" t="n">
        <f aca="false">Calculations!U$5</f>
        <v>16</v>
      </c>
      <c r="V208" s="75" t="n">
        <f aca="false">Calculations!V$5</f>
        <v>17</v>
      </c>
      <c r="W208" s="75" t="n">
        <f aca="false">Calculations!W$5</f>
        <v>18</v>
      </c>
      <c r="X208" s="75" t="n">
        <f aca="false">Calculations!X$5</f>
        <v>19</v>
      </c>
      <c r="Y208" s="75" t="n">
        <f aca="false">Calculations!Y$5</f>
        <v>20</v>
      </c>
      <c r="Z208" s="75" t="n">
        <f aca="false">Calculations!Z$5</f>
        <v>21</v>
      </c>
      <c r="AA208" s="75" t="n">
        <f aca="false">Calculations!AA$5</f>
        <v>22</v>
      </c>
      <c r="AB208" s="75" t="n">
        <f aca="false">Calculations!AB$5</f>
        <v>23</v>
      </c>
      <c r="AC208" s="75" t="n">
        <f aca="false">Calculations!AC$5</f>
        <v>24</v>
      </c>
      <c r="AD208" s="75" t="n">
        <f aca="false">Calculations!AD$5</f>
        <v>25</v>
      </c>
    </row>
    <row r="209" customFormat="false" ht="15" hidden="false" customHeight="false" outlineLevel="1" collapsed="false">
      <c r="B209" s="4" t="s">
        <v>152</v>
      </c>
      <c r="C209" s="24" t="s">
        <v>120</v>
      </c>
      <c r="F209" s="32" t="n">
        <f aca="false">Calculations!F$12*$D$203</f>
        <v>1897500</v>
      </c>
      <c r="G209" s="32" t="n">
        <f aca="false">Calculations!G$12*$D$203</f>
        <v>1991853.1875</v>
      </c>
      <c r="H209" s="32" t="n">
        <f aca="false">Calculations!H$12*$D$203</f>
        <v>2090898.08724844</v>
      </c>
      <c r="I209" s="32" t="n">
        <f aca="false">Calculations!I$12*$D$203</f>
        <v>2194867.99463687</v>
      </c>
      <c r="J209" s="32" t="n">
        <f aca="false">Calculations!J$12*$D$203</f>
        <v>2304007.80567018</v>
      </c>
      <c r="K209" s="32" t="n">
        <f aca="false">Calculations!K$12*$D$203</f>
        <v>2418574.59380713</v>
      </c>
      <c r="L209" s="32" t="n">
        <f aca="false">Calculations!L$12*$D$203</f>
        <v>2538838.21548419</v>
      </c>
      <c r="M209" s="32" t="n">
        <f aca="false">Calculations!M$12*$D$203</f>
        <v>2665081.94574914</v>
      </c>
      <c r="N209" s="32" t="n">
        <f aca="false">Calculations!N$12*$D$203</f>
        <v>2797603.14550152</v>
      </c>
      <c r="O209" s="32" t="n">
        <f aca="false">Calculations!O$12*$D$203</f>
        <v>2936713.96191158</v>
      </c>
      <c r="P209" s="32" t="n">
        <f aca="false">Calculations!P$12*$D$203</f>
        <v>3082742.06366764</v>
      </c>
      <c r="Q209" s="32" t="n">
        <f aca="false">Calculations!Q$12*$D$203</f>
        <v>3236031.41278351</v>
      </c>
      <c r="R209" s="32" t="n">
        <f aca="false">Calculations!R$12*$D$203</f>
        <v>3396943.07478417</v>
      </c>
      <c r="S209" s="32" t="n">
        <f aca="false">Calculations!S$12*$D$203</f>
        <v>3565856.06917781</v>
      </c>
      <c r="T209" s="32" t="n">
        <f aca="false">Calculations!T$12*$D$203</f>
        <v>3743168.26221768</v>
      </c>
      <c r="U209" s="32" t="n">
        <f aca="false">Calculations!U$12*$D$203</f>
        <v>3929297.30405645</v>
      </c>
      <c r="V209" s="32" t="n">
        <f aca="false">Calculations!V$12*$D$203</f>
        <v>4124681.61250066</v>
      </c>
      <c r="W209" s="32" t="n">
        <f aca="false">Calculations!W$12*$D$203</f>
        <v>4329781.40568225</v>
      </c>
      <c r="X209" s="32" t="n">
        <f aca="false">Calculations!X$12*$D$203</f>
        <v>4545079.7860798</v>
      </c>
      <c r="Y209" s="32" t="n">
        <f aca="false">Calculations!Y$12*$D$203</f>
        <v>4771083.87844262</v>
      </c>
      <c r="Z209" s="32" t="n">
        <f aca="false">Calculations!Z$12*$D$203</f>
        <v>0</v>
      </c>
      <c r="AA209" s="32" t="n">
        <f aca="false">Calculations!AA$12*$D$203</f>
        <v>0</v>
      </c>
      <c r="AB209" s="32" t="n">
        <f aca="false">Calculations!AB$12*$D$203</f>
        <v>0</v>
      </c>
      <c r="AC209" s="32" t="n">
        <f aca="false">Calculations!AC$12*$D$203</f>
        <v>0</v>
      </c>
      <c r="AD209" s="32" t="n">
        <f aca="false">Calculations!AD$12*$D$203</f>
        <v>0</v>
      </c>
    </row>
    <row r="210" customFormat="false" ht="15" hidden="false" customHeight="false" outlineLevel="1" collapsed="false">
      <c r="B210" s="4" t="s">
        <v>155</v>
      </c>
      <c r="C210" s="24" t="s">
        <v>120</v>
      </c>
      <c r="F210" s="32" t="n">
        <f aca="false">F209-Calculations!F$15</f>
        <v>1717500</v>
      </c>
      <c r="G210" s="32" t="n">
        <f aca="false">G209-Calculations!G$15</f>
        <v>1802853.1875</v>
      </c>
      <c r="H210" s="32" t="n">
        <f aca="false">H209-Calculations!H$15</f>
        <v>1892448.08724844</v>
      </c>
      <c r="I210" s="32" t="n">
        <f aca="false">I209-Calculations!I$15</f>
        <v>1986495.49463687</v>
      </c>
      <c r="J210" s="32" t="n">
        <f aca="false">J209-Calculations!J$15</f>
        <v>2085216.68067018</v>
      </c>
      <c r="K210" s="32" t="n">
        <f aca="false">K209-Calculations!K$15</f>
        <v>2188843.91255713</v>
      </c>
      <c r="L210" s="32" t="n">
        <f aca="false">L209-Calculations!L$15</f>
        <v>2297621.00017169</v>
      </c>
      <c r="M210" s="32" t="n">
        <f aca="false">M209-Calculations!M$15</f>
        <v>2411803.86967102</v>
      </c>
      <c r="N210" s="32" t="n">
        <f aca="false">N209-Calculations!N$15</f>
        <v>2531661.16561949</v>
      </c>
      <c r="O210" s="32" t="n">
        <f aca="false">O209-Calculations!O$15</f>
        <v>2657474.88303545</v>
      </c>
      <c r="P210" s="32" t="n">
        <f aca="false">P209-Calculations!P$15</f>
        <v>2789541.0308477</v>
      </c>
      <c r="Q210" s="32" t="n">
        <f aca="false">Q209-Calculations!Q$15</f>
        <v>2928170.32832257</v>
      </c>
      <c r="R210" s="32" t="n">
        <f aca="false">R209-Calculations!R$15</f>
        <v>3073688.93610019</v>
      </c>
      <c r="S210" s="32" t="n">
        <f aca="false">S209-Calculations!S$15</f>
        <v>3226439.22355963</v>
      </c>
      <c r="T210" s="32" t="n">
        <f aca="false">T209-Calculations!T$15</f>
        <v>3386780.57431859</v>
      </c>
      <c r="U210" s="32" t="n">
        <f aca="false">U209-Calculations!U$15</f>
        <v>3555090.23176241</v>
      </c>
      <c r="V210" s="32" t="n">
        <f aca="false">V209-Calculations!V$15</f>
        <v>3731764.18659191</v>
      </c>
      <c r="W210" s="32" t="n">
        <f aca="false">W209-Calculations!W$15</f>
        <v>3917218.10847807</v>
      </c>
      <c r="X210" s="32" t="n">
        <f aca="false">X209-Calculations!X$15</f>
        <v>4111888.32401541</v>
      </c>
      <c r="Y210" s="32" t="n">
        <f aca="false">Y209-Calculations!Y$15</f>
        <v>4316232.84327501</v>
      </c>
      <c r="Z210" s="32" t="n">
        <f aca="false">Z209-Calculations!Z$15</f>
        <v>0</v>
      </c>
      <c r="AA210" s="32" t="n">
        <f aca="false">AA209-Calculations!AA$15</f>
        <v>0</v>
      </c>
      <c r="AB210" s="32" t="n">
        <f aca="false">AB209-Calculations!AB$15</f>
        <v>0</v>
      </c>
      <c r="AC210" s="32" t="n">
        <f aca="false">AC209-Calculations!AC$15</f>
        <v>0</v>
      </c>
      <c r="AD210" s="32" t="n">
        <f aca="false">AD209-Calculations!AD$15</f>
        <v>0</v>
      </c>
    </row>
    <row r="211" customFormat="false" ht="15" hidden="false" customHeight="false" outlineLevel="1" collapsed="false">
      <c r="B211" s="4" t="s">
        <v>274</v>
      </c>
      <c r="C211" s="24" t="s">
        <v>120</v>
      </c>
      <c r="F211" s="32" t="n">
        <f aca="false">E214*Interest_Rate*Calculations!F$7</f>
        <v>986700</v>
      </c>
      <c r="G211" s="32" t="n">
        <f aca="false">F214*Interest_Rate*Calculations!G$7</f>
        <v>929099.206682503</v>
      </c>
      <c r="H211" s="32" t="n">
        <f aca="false">G214*Interest_Rate*Calculations!H$7</f>
        <v>864874.322133494</v>
      </c>
      <c r="I211" s="32" t="n">
        <f aca="false">H214*Interest_Rate*Calculations!I$7</f>
        <v>793263.575861348</v>
      </c>
      <c r="J211" s="32" t="n">
        <f aca="false">I214*Interest_Rate*Calculations!J$7</f>
        <v>713417.593767906</v>
      </c>
      <c r="K211" s="32" t="n">
        <f aca="false">J214*Interest_Rate*Calculations!K$7</f>
        <v>624389.323733719</v>
      </c>
      <c r="L211" s="32" t="n">
        <f aca="false">K214*Interest_Rate*Calculations!L$7</f>
        <v>525122.802645599</v>
      </c>
      <c r="M211" s="32" t="n">
        <f aca="false">L214*Interest_Rate*Calculations!M$7</f>
        <v>414440.631632346</v>
      </c>
      <c r="N211" s="32" t="n">
        <f aca="false">M214*Interest_Rate*Calculations!N$7</f>
        <v>291030.010952568</v>
      </c>
      <c r="O211" s="32" t="n">
        <f aca="false">N214*Interest_Rate*Calculations!O$7</f>
        <v>153427.168894616</v>
      </c>
      <c r="P211" s="32" t="n">
        <f aca="false">O214*Interest_Rate*Calculations!P$7</f>
        <v>0</v>
      </c>
      <c r="Q211" s="32" t="n">
        <f aca="false">P214*Interest_Rate*Calculations!Q$7</f>
        <v>0</v>
      </c>
      <c r="R211" s="32" t="n">
        <f aca="false">Q214*Interest_Rate*Calculations!R$7</f>
        <v>0</v>
      </c>
      <c r="S211" s="32" t="n">
        <f aca="false">R214*Interest_Rate*Calculations!S$7</f>
        <v>0</v>
      </c>
      <c r="T211" s="32" t="n">
        <f aca="false">S214*Interest_Rate*Calculations!T$7</f>
        <v>0</v>
      </c>
      <c r="U211" s="32" t="n">
        <f aca="false">T214*Interest_Rate*Calculations!U$7</f>
        <v>0</v>
      </c>
      <c r="V211" s="32" t="n">
        <f aca="false">U214*Interest_Rate*Calculations!V$7</f>
        <v>0</v>
      </c>
      <c r="W211" s="32" t="n">
        <f aca="false">V214*Interest_Rate*Calculations!W$7</f>
        <v>0</v>
      </c>
      <c r="X211" s="32" t="n">
        <f aca="false">W214*Interest_Rate*Calculations!X$7</f>
        <v>0</v>
      </c>
      <c r="Y211" s="32" t="n">
        <f aca="false">X214*Interest_Rate*Calculations!Y$7</f>
        <v>0</v>
      </c>
      <c r="Z211" s="32" t="n">
        <f aca="false">Y214*Interest_Rate*Calculations!Z$7</f>
        <v>0</v>
      </c>
      <c r="AA211" s="32" t="n">
        <f aca="false">Z214*Interest_Rate*Calculations!AA$7</f>
        <v>0</v>
      </c>
      <c r="AB211" s="32" t="n">
        <f aca="false">AA214*Interest_Rate*Calculations!AB$7</f>
        <v>0</v>
      </c>
      <c r="AC211" s="32" t="n">
        <f aca="false">AB214*Interest_Rate*Calculations!AC$7</f>
        <v>0</v>
      </c>
      <c r="AD211" s="32" t="n">
        <f aca="false">AC214*Interest_Rate*Calculations!AD$7</f>
        <v>0</v>
      </c>
    </row>
    <row r="212" customFormat="false" ht="15" hidden="false" customHeight="false" outlineLevel="1" collapsed="false">
      <c r="B212" s="4" t="s">
        <v>177</v>
      </c>
      <c r="C212" s="24" t="s">
        <v>120</v>
      </c>
      <c r="F212" s="32" t="n">
        <f aca="false">$D$207*Calculations!F$7</f>
        <v>1487576.46363041</v>
      </c>
      <c r="G212" s="32" t="n">
        <f aca="false">$D$207*Calculations!G$7</f>
        <v>1487576.46363041</v>
      </c>
      <c r="H212" s="32" t="n">
        <f aca="false">$D$207*Calculations!H$7</f>
        <v>1487576.46363041</v>
      </c>
      <c r="I212" s="32" t="n">
        <f aca="false">$D$207*Calculations!I$7</f>
        <v>1487576.46363041</v>
      </c>
      <c r="J212" s="32" t="n">
        <f aca="false">$D$207*Calculations!J$7</f>
        <v>1487576.46363041</v>
      </c>
      <c r="K212" s="32" t="n">
        <f aca="false">$D$207*Calculations!K$7</f>
        <v>1487576.46363041</v>
      </c>
      <c r="L212" s="32" t="n">
        <f aca="false">$D$207*Calculations!L$7</f>
        <v>1487576.46363041</v>
      </c>
      <c r="M212" s="32" t="n">
        <f aca="false">$D$207*Calculations!M$7</f>
        <v>1487576.46363041</v>
      </c>
      <c r="N212" s="32" t="n">
        <f aca="false">$D$207*Calculations!N$7</f>
        <v>1487576.46363041</v>
      </c>
      <c r="O212" s="32" t="n">
        <f aca="false">$D$207*Calculations!O$7</f>
        <v>1487576.46363041</v>
      </c>
      <c r="P212" s="32" t="n">
        <f aca="false">$D$207*Calculations!P$7</f>
        <v>0</v>
      </c>
      <c r="Q212" s="32" t="n">
        <f aca="false">$D$207*Calculations!Q$7</f>
        <v>0</v>
      </c>
      <c r="R212" s="32" t="n">
        <f aca="false">$D$207*Calculations!R$7</f>
        <v>0</v>
      </c>
      <c r="S212" s="32" t="n">
        <f aca="false">$D$207*Calculations!S$7</f>
        <v>0</v>
      </c>
      <c r="T212" s="32" t="n">
        <f aca="false">$D$207*Calculations!T$7</f>
        <v>0</v>
      </c>
      <c r="U212" s="32" t="n">
        <f aca="false">$D$207*Calculations!U$7</f>
        <v>0</v>
      </c>
      <c r="V212" s="32" t="n">
        <f aca="false">$D$207*Calculations!V$7</f>
        <v>0</v>
      </c>
      <c r="W212" s="32" t="n">
        <f aca="false">$D$207*Calculations!W$7</f>
        <v>0</v>
      </c>
      <c r="X212" s="32" t="n">
        <f aca="false">$D$207*Calculations!X$7</f>
        <v>0</v>
      </c>
      <c r="Y212" s="32" t="n">
        <f aca="false">$D$207*Calculations!Y$7</f>
        <v>0</v>
      </c>
      <c r="Z212" s="32" t="n">
        <f aca="false">$D$207*Calculations!Z$7</f>
        <v>0</v>
      </c>
      <c r="AA212" s="32" t="n">
        <f aca="false">$D$207*Calculations!AA$7</f>
        <v>0</v>
      </c>
      <c r="AB212" s="32" t="n">
        <f aca="false">$D$207*Calculations!AB$7</f>
        <v>0</v>
      </c>
      <c r="AC212" s="32" t="n">
        <f aca="false">$D$207*Calculations!AC$7</f>
        <v>0</v>
      </c>
      <c r="AD212" s="32" t="n">
        <f aca="false">$D$207*Calculations!AD$7</f>
        <v>0</v>
      </c>
    </row>
    <row r="213" customFormat="false" ht="15" hidden="false" customHeight="false" outlineLevel="1" collapsed="false">
      <c r="B213" s="4" t="s">
        <v>275</v>
      </c>
      <c r="C213" s="24" t="s">
        <v>120</v>
      </c>
      <c r="F213" s="32" t="n">
        <f aca="false">F212-F211</f>
        <v>500876.46363041</v>
      </c>
      <c r="G213" s="32" t="n">
        <f aca="false">G212-G211</f>
        <v>558477.256947907</v>
      </c>
      <c r="H213" s="32" t="n">
        <f aca="false">H212-H211</f>
        <v>622702.141496916</v>
      </c>
      <c r="I213" s="32" t="n">
        <f aca="false">I212-I211</f>
        <v>694312.887769062</v>
      </c>
      <c r="J213" s="32" t="n">
        <f aca="false">J212-J211</f>
        <v>774158.869862504</v>
      </c>
      <c r="K213" s="32" t="n">
        <f aca="false">K212-K211</f>
        <v>863187.139896692</v>
      </c>
      <c r="L213" s="32" t="n">
        <f aca="false">L212-L211</f>
        <v>962453.660984811</v>
      </c>
      <c r="M213" s="32" t="n">
        <f aca="false">M212-M211</f>
        <v>1073135.83199806</v>
      </c>
      <c r="N213" s="32" t="n">
        <f aca="false">N212-N211</f>
        <v>1196546.45267784</v>
      </c>
      <c r="O213" s="32" t="n">
        <f aca="false">O212-O211</f>
        <v>1334149.29473579</v>
      </c>
      <c r="P213" s="32" t="n">
        <f aca="false">P212-P211</f>
        <v>0</v>
      </c>
      <c r="Q213" s="32" t="n">
        <f aca="false">Q212-Q211</f>
        <v>0</v>
      </c>
      <c r="R213" s="32" t="n">
        <f aca="false">R212-R211</f>
        <v>0</v>
      </c>
      <c r="S213" s="32" t="n">
        <f aca="false">S212-S211</f>
        <v>0</v>
      </c>
      <c r="T213" s="32" t="n">
        <f aca="false">T212-T211</f>
        <v>0</v>
      </c>
      <c r="U213" s="32" t="n">
        <f aca="false">U212-U211</f>
        <v>0</v>
      </c>
      <c r="V213" s="32" t="n">
        <f aca="false">V212-V211</f>
        <v>0</v>
      </c>
      <c r="W213" s="32" t="n">
        <f aca="false">W212-W211</f>
        <v>0</v>
      </c>
      <c r="X213" s="32" t="n">
        <f aca="false">X212-X211</f>
        <v>0</v>
      </c>
      <c r="Y213" s="32" t="n">
        <f aca="false">Y212-Y211</f>
        <v>0</v>
      </c>
      <c r="Z213" s="32" t="n">
        <f aca="false">Z212-Z211</f>
        <v>0</v>
      </c>
      <c r="AA213" s="32" t="n">
        <f aca="false">AA212-AA211</f>
        <v>0</v>
      </c>
      <c r="AB213" s="32" t="n">
        <f aca="false">AB212-AB211</f>
        <v>0</v>
      </c>
      <c r="AC213" s="32" t="n">
        <f aca="false">AC212-AC211</f>
        <v>0</v>
      </c>
      <c r="AD213" s="32" t="n">
        <f aca="false">AD212-AD211</f>
        <v>0</v>
      </c>
    </row>
    <row r="214" customFormat="false" ht="15" hidden="false" customHeight="false" outlineLevel="1" collapsed="false">
      <c r="B214" s="4" t="s">
        <v>276</v>
      </c>
      <c r="C214" s="24" t="s">
        <v>120</v>
      </c>
      <c r="E214" s="32" t="n">
        <f aca="false">$D$206</f>
        <v>8580000</v>
      </c>
      <c r="F214" s="32" t="n">
        <f aca="false">E214-F213</f>
        <v>8079123.53636959</v>
      </c>
      <c r="G214" s="32" t="n">
        <f aca="false">F214-G213</f>
        <v>7520646.27942169</v>
      </c>
      <c r="H214" s="32" t="n">
        <f aca="false">G214-H213</f>
        <v>6897944.13792477</v>
      </c>
      <c r="I214" s="32" t="n">
        <f aca="false">H214-I213</f>
        <v>6203631.25015571</v>
      </c>
      <c r="J214" s="32" t="n">
        <f aca="false">I214-J213</f>
        <v>5429472.3802932</v>
      </c>
      <c r="K214" s="32" t="n">
        <f aca="false">J214-K213</f>
        <v>4566285.24039651</v>
      </c>
      <c r="L214" s="32" t="n">
        <f aca="false">K214-L213</f>
        <v>3603831.5794117</v>
      </c>
      <c r="M214" s="32" t="n">
        <f aca="false">L214-M213</f>
        <v>2530695.74741364</v>
      </c>
      <c r="N214" s="32" t="n">
        <f aca="false">M214-N213</f>
        <v>1334149.29473579</v>
      </c>
      <c r="O214" s="32" t="n">
        <f aca="false">N214-O213</f>
        <v>0</v>
      </c>
      <c r="P214" s="32" t="n">
        <f aca="false">O214-P213</f>
        <v>0</v>
      </c>
      <c r="Q214" s="32" t="n">
        <f aca="false">P214-Q213</f>
        <v>0</v>
      </c>
      <c r="R214" s="32" t="n">
        <f aca="false">Q214-R213</f>
        <v>0</v>
      </c>
      <c r="S214" s="32" t="n">
        <f aca="false">R214-S213</f>
        <v>0</v>
      </c>
      <c r="T214" s="32" t="n">
        <f aca="false">S214-T213</f>
        <v>0</v>
      </c>
      <c r="U214" s="32" t="n">
        <f aca="false">T214-U213</f>
        <v>0</v>
      </c>
      <c r="V214" s="32" t="n">
        <f aca="false">U214-V213</f>
        <v>0</v>
      </c>
      <c r="W214" s="32" t="n">
        <f aca="false">V214-W213</f>
        <v>0</v>
      </c>
      <c r="X214" s="32" t="n">
        <f aca="false">W214-X213</f>
        <v>0</v>
      </c>
      <c r="Y214" s="32" t="n">
        <f aca="false">X214-Y213</f>
        <v>0</v>
      </c>
      <c r="Z214" s="32" t="n">
        <f aca="false">Y214-Z213</f>
        <v>0</v>
      </c>
      <c r="AA214" s="32" t="n">
        <f aca="false">Z214-AA213</f>
        <v>0</v>
      </c>
      <c r="AB214" s="32" t="n">
        <f aca="false">AA214-AB213</f>
        <v>0</v>
      </c>
      <c r="AC214" s="32" t="n">
        <f aca="false">AB214-AC213</f>
        <v>0</v>
      </c>
      <c r="AD214" s="32" t="n">
        <f aca="false">AC214-AD213</f>
        <v>0</v>
      </c>
    </row>
    <row r="215" customFormat="false" ht="15" hidden="false" customHeight="false" outlineLevel="1" collapsed="false">
      <c r="B215" s="4" t="s">
        <v>277</v>
      </c>
      <c r="C215" s="24" t="s">
        <v>120</v>
      </c>
      <c r="F215" s="32" t="n">
        <f aca="false">Calculations!F$20*$D$204</f>
        <v>13200000</v>
      </c>
      <c r="G215" s="32" t="n">
        <f aca="false">Calculations!G$20*$D$204</f>
        <v>0</v>
      </c>
      <c r="H215" s="32" t="n">
        <f aca="false">Calculations!H$20*$D$204</f>
        <v>0</v>
      </c>
      <c r="I215" s="32" t="n">
        <f aca="false">Calculations!I$20*$D$204</f>
        <v>0</v>
      </c>
      <c r="J215" s="32" t="n">
        <f aca="false">Calculations!J$20*$D$204</f>
        <v>0</v>
      </c>
      <c r="K215" s="32" t="n">
        <f aca="false">Calculations!K$20*$D$204</f>
        <v>0</v>
      </c>
      <c r="L215" s="32" t="n">
        <f aca="false">Calculations!L$20*$D$204</f>
        <v>0</v>
      </c>
      <c r="M215" s="32" t="n">
        <f aca="false">Calculations!M$20*$D$204</f>
        <v>0</v>
      </c>
      <c r="N215" s="32" t="n">
        <f aca="false">Calculations!N$20*$D$204</f>
        <v>0</v>
      </c>
      <c r="O215" s="32" t="n">
        <f aca="false">Calculations!O$20*$D$204</f>
        <v>0</v>
      </c>
      <c r="P215" s="32" t="n">
        <f aca="false">Calculations!P$20*$D$204</f>
        <v>0</v>
      </c>
      <c r="Q215" s="32" t="n">
        <f aca="false">Calculations!Q$20*$D$204</f>
        <v>0</v>
      </c>
      <c r="R215" s="32" t="n">
        <f aca="false">Calculations!R$20*$D$204</f>
        <v>0</v>
      </c>
      <c r="S215" s="32" t="n">
        <f aca="false">Calculations!S$20*$D$204</f>
        <v>0</v>
      </c>
      <c r="T215" s="32" t="n">
        <f aca="false">Calculations!T$20*$D$204</f>
        <v>0</v>
      </c>
      <c r="U215" s="32" t="n">
        <f aca="false">Calculations!U$20*$D$204</f>
        <v>0</v>
      </c>
      <c r="V215" s="32" t="n">
        <f aca="false">Calculations!V$20*$D$204</f>
        <v>0</v>
      </c>
      <c r="W215" s="32" t="n">
        <f aca="false">Calculations!W$20*$D$204</f>
        <v>0</v>
      </c>
      <c r="X215" s="32" t="n">
        <f aca="false">Calculations!X$20*$D$204</f>
        <v>0</v>
      </c>
      <c r="Y215" s="32" t="n">
        <f aca="false">Calculations!Y$20*$D$204</f>
        <v>0</v>
      </c>
      <c r="Z215" s="32" t="n">
        <f aca="false">Calculations!Z$20*$D$204</f>
        <v>0</v>
      </c>
      <c r="AA215" s="32" t="n">
        <f aca="false">Calculations!AA$20*$D$204</f>
        <v>0</v>
      </c>
      <c r="AB215" s="32" t="n">
        <f aca="false">Calculations!AB$20*$D$204</f>
        <v>0</v>
      </c>
      <c r="AC215" s="32" t="n">
        <f aca="false">Calculations!AC$20*$D$204</f>
        <v>0</v>
      </c>
      <c r="AD215" s="32" t="n">
        <f aca="false">Calculations!AD$20*$D$204</f>
        <v>0</v>
      </c>
    </row>
    <row r="216" customFormat="false" ht="15" hidden="false" customHeight="false" outlineLevel="1" collapsed="false">
      <c r="B216" s="4" t="s">
        <v>169</v>
      </c>
      <c r="C216" s="24" t="s">
        <v>120</v>
      </c>
      <c r="F216" s="32" t="n">
        <f aca="false">F210-F211-F215</f>
        <v>-12469200</v>
      </c>
      <c r="G216" s="32" t="n">
        <f aca="false">G210-G211-G215</f>
        <v>873753.980817497</v>
      </c>
      <c r="H216" s="32" t="n">
        <f aca="false">H210-H211-H215</f>
        <v>1027573.76511494</v>
      </c>
      <c r="I216" s="32" t="n">
        <f aca="false">I210-I211-I215</f>
        <v>1193231.91877552</v>
      </c>
      <c r="J216" s="32" t="n">
        <f aca="false">J210-J211-J215</f>
        <v>1371799.08690228</v>
      </c>
      <c r="K216" s="32" t="n">
        <f aca="false">K210-K211-K215</f>
        <v>1564454.58882341</v>
      </c>
      <c r="L216" s="32" t="n">
        <f aca="false">L210-L211-L215</f>
        <v>1772498.19752609</v>
      </c>
      <c r="M216" s="32" t="n">
        <f aca="false">M210-M211-M215</f>
        <v>1997363.23803867</v>
      </c>
      <c r="N216" s="32" t="n">
        <f aca="false">N210-N211-N215</f>
        <v>2240631.15466692</v>
      </c>
      <c r="O216" s="32" t="n">
        <f aca="false">O210-O211-O215</f>
        <v>2504047.71414083</v>
      </c>
      <c r="P216" s="32" t="n">
        <f aca="false">P210-P211-P215</f>
        <v>2789541.0308477</v>
      </c>
      <c r="Q216" s="32" t="n">
        <f aca="false">Q210-Q211-Q215</f>
        <v>2928170.32832257</v>
      </c>
      <c r="R216" s="32" t="n">
        <f aca="false">R210-R211-R215</f>
        <v>3073688.93610019</v>
      </c>
      <c r="S216" s="32" t="n">
        <f aca="false">S210-S211-S215</f>
        <v>3226439.22355963</v>
      </c>
      <c r="T216" s="32" t="n">
        <f aca="false">T210-T211-T215</f>
        <v>3386780.57431859</v>
      </c>
      <c r="U216" s="32" t="n">
        <f aca="false">U210-U211-U215</f>
        <v>3555090.23176241</v>
      </c>
      <c r="V216" s="32" t="n">
        <f aca="false">V210-V211-V215</f>
        <v>3731764.18659191</v>
      </c>
      <c r="W216" s="32" t="n">
        <f aca="false">W210-W211-W215</f>
        <v>3917218.10847807</v>
      </c>
      <c r="X216" s="32" t="n">
        <f aca="false">X210-X211-X215</f>
        <v>4111888.32401541</v>
      </c>
      <c r="Y216" s="32" t="n">
        <f aca="false">Y210-Y211-Y215</f>
        <v>4316232.84327501</v>
      </c>
      <c r="Z216" s="32" t="n">
        <f aca="false">Z210-Z211-Z215</f>
        <v>0</v>
      </c>
      <c r="AA216" s="32" t="n">
        <f aca="false">AA210-AA211-AA215</f>
        <v>0</v>
      </c>
      <c r="AB216" s="32" t="n">
        <f aca="false">AB210-AB211-AB215</f>
        <v>0</v>
      </c>
      <c r="AC216" s="32" t="n">
        <f aca="false">AC210-AC211-AC215</f>
        <v>0</v>
      </c>
      <c r="AD216" s="32" t="n">
        <f aca="false">AD210-AD211-AD215</f>
        <v>0</v>
      </c>
    </row>
    <row r="217" customFormat="false" ht="15" hidden="false" customHeight="false" outlineLevel="1" collapsed="false">
      <c r="B217" s="4" t="s">
        <v>172</v>
      </c>
      <c r="C217" s="24" t="s">
        <v>120</v>
      </c>
      <c r="F217" s="32" t="n">
        <f aca="false">MAX(0,E217-F216)</f>
        <v>12469200</v>
      </c>
      <c r="G217" s="32" t="n">
        <f aca="false">MAX(0,F217-G216)</f>
        <v>11595446.0191825</v>
      </c>
      <c r="H217" s="32" t="n">
        <f aca="false">MAX(0,G217-H216)</f>
        <v>10567872.2540676</v>
      </c>
      <c r="I217" s="32" t="n">
        <f aca="false">MAX(0,H217-I216)</f>
        <v>9374640.33529205</v>
      </c>
      <c r="J217" s="32" t="n">
        <f aca="false">MAX(0,I217-J216)</f>
        <v>8002841.24838977</v>
      </c>
      <c r="K217" s="32" t="n">
        <f aca="false">MAX(0,J217-K216)</f>
        <v>6438386.65956635</v>
      </c>
      <c r="L217" s="32" t="n">
        <f aca="false">MAX(0,K217-L216)</f>
        <v>4665888.46204026</v>
      </c>
      <c r="M217" s="32" t="n">
        <f aca="false">MAX(0,L217-M216)</f>
        <v>2668525.22400159</v>
      </c>
      <c r="N217" s="32" t="n">
        <f aca="false">MAX(0,M217-N216)</f>
        <v>427894.069334665</v>
      </c>
      <c r="O217" s="32" t="n">
        <f aca="false">MAX(0,N217-O216)</f>
        <v>0</v>
      </c>
      <c r="P217" s="32" t="n">
        <f aca="false">MAX(0,O217-P216)</f>
        <v>0</v>
      </c>
      <c r="Q217" s="32" t="n">
        <f aca="false">MAX(0,P217-Q216)</f>
        <v>0</v>
      </c>
      <c r="R217" s="32" t="n">
        <f aca="false">MAX(0,Q217-R216)</f>
        <v>0</v>
      </c>
      <c r="S217" s="32" t="n">
        <f aca="false">MAX(0,R217-S216)</f>
        <v>0</v>
      </c>
      <c r="T217" s="32" t="n">
        <f aca="false">MAX(0,S217-T216)</f>
        <v>0</v>
      </c>
      <c r="U217" s="32" t="n">
        <f aca="false">MAX(0,T217-U216)</f>
        <v>0</v>
      </c>
      <c r="V217" s="32" t="n">
        <f aca="false">MAX(0,U217-V216)</f>
        <v>0</v>
      </c>
      <c r="W217" s="32" t="n">
        <f aca="false">MAX(0,V217-W216)</f>
        <v>0</v>
      </c>
      <c r="X217" s="32" t="n">
        <f aca="false">MAX(0,W217-X216)</f>
        <v>0</v>
      </c>
      <c r="Y217" s="32" t="n">
        <f aca="false">MAX(0,X217-Y216)</f>
        <v>0</v>
      </c>
      <c r="Z217" s="32" t="n">
        <f aca="false">MAX(0,Y217-Z216)</f>
        <v>0</v>
      </c>
      <c r="AA217" s="32" t="n">
        <f aca="false">MAX(0,Z217-AA216)</f>
        <v>0</v>
      </c>
      <c r="AB217" s="32" t="n">
        <f aca="false">MAX(0,AA217-AB216)</f>
        <v>0</v>
      </c>
      <c r="AC217" s="32" t="n">
        <f aca="false">MAX(0,AB217-AC216)</f>
        <v>0</v>
      </c>
      <c r="AD217" s="32" t="n">
        <f aca="false">MAX(0,AC217-AD216)</f>
        <v>0</v>
      </c>
    </row>
    <row r="218" customFormat="false" ht="15" hidden="false" customHeight="false" outlineLevel="1" collapsed="false">
      <c r="B218" s="4" t="s">
        <v>173</v>
      </c>
      <c r="C218" s="24" t="s">
        <v>120</v>
      </c>
      <c r="F218" s="32" t="n">
        <f aca="false">Tax_Rate*MAX(0,F216-E217)</f>
        <v>0</v>
      </c>
      <c r="G218" s="32" t="n">
        <f aca="false">Tax_Rate*MAX(0,G216-F217)</f>
        <v>0</v>
      </c>
      <c r="H218" s="32" t="n">
        <f aca="false">Tax_Rate*MAX(0,H216-G217)</f>
        <v>0</v>
      </c>
      <c r="I218" s="32" t="n">
        <f aca="false">Tax_Rate*MAX(0,I216-H217)</f>
        <v>0</v>
      </c>
      <c r="J218" s="32" t="n">
        <f aca="false">Tax_Rate*MAX(0,J216-I217)</f>
        <v>0</v>
      </c>
      <c r="K218" s="32" t="n">
        <f aca="false">Tax_Rate*MAX(0,K216-J217)</f>
        <v>0</v>
      </c>
      <c r="L218" s="32" t="n">
        <f aca="false">Tax_Rate*MAX(0,L216-K217)</f>
        <v>0</v>
      </c>
      <c r="M218" s="32" t="n">
        <f aca="false">Tax_Rate*MAX(0,M216-L217)</f>
        <v>0</v>
      </c>
      <c r="N218" s="32" t="n">
        <f aca="false">Tax_Rate*MAX(0,N216-M217)</f>
        <v>0</v>
      </c>
      <c r="O218" s="32" t="n">
        <f aca="false">Tax_Rate*MAX(0,O216-N217)</f>
        <v>560561.484097665</v>
      </c>
      <c r="P218" s="32" t="n">
        <f aca="false">Tax_Rate*MAX(0,P216-O217)</f>
        <v>753176.078328878</v>
      </c>
      <c r="Q218" s="32" t="n">
        <f aca="false">Tax_Rate*MAX(0,Q216-P217)</f>
        <v>790605.988647095</v>
      </c>
      <c r="R218" s="32" t="n">
        <f aca="false">Tax_Rate*MAX(0,R216-Q217)</f>
        <v>829896.01274705</v>
      </c>
      <c r="S218" s="32" t="n">
        <f aca="false">Tax_Rate*MAX(0,S216-R217)</f>
        <v>871138.5903611</v>
      </c>
      <c r="T218" s="32" t="n">
        <f aca="false">Tax_Rate*MAX(0,T216-S217)</f>
        <v>914430.755066018</v>
      </c>
      <c r="U218" s="32" t="n">
        <f aca="false">Tax_Rate*MAX(0,U216-T217)</f>
        <v>959874.36257585</v>
      </c>
      <c r="V218" s="32" t="n">
        <f aca="false">Tax_Rate*MAX(0,V216-U217)</f>
        <v>1007576.33037982</v>
      </c>
      <c r="W218" s="32" t="n">
        <f aca="false">Tax_Rate*MAX(0,W216-V217)</f>
        <v>1057648.88928908</v>
      </c>
      <c r="X218" s="32" t="n">
        <f aca="false">Tax_Rate*MAX(0,X216-W217)</f>
        <v>1110209.84748416</v>
      </c>
      <c r="Y218" s="32" t="n">
        <f aca="false">Tax_Rate*MAX(0,Y216-X217)</f>
        <v>1165382.86768425</v>
      </c>
      <c r="Z218" s="32" t="n">
        <f aca="false">Tax_Rate*MAX(0,Z216-Y217)</f>
        <v>0</v>
      </c>
      <c r="AA218" s="32" t="n">
        <f aca="false">Tax_Rate*MAX(0,AA216-Z217)</f>
        <v>0</v>
      </c>
      <c r="AB218" s="32" t="n">
        <f aca="false">Tax_Rate*MAX(0,AB216-AA217)</f>
        <v>0</v>
      </c>
      <c r="AC218" s="32" t="n">
        <f aca="false">Tax_Rate*MAX(0,AC216-AB217)</f>
        <v>0</v>
      </c>
      <c r="AD218" s="32" t="n">
        <f aca="false">Tax_Rate*MAX(0,AD216-AC217)</f>
        <v>0</v>
      </c>
    </row>
    <row r="219" customFormat="false" ht="15" hidden="false" customHeight="false" outlineLevel="1" collapsed="false">
      <c r="B219" s="4" t="s">
        <v>176</v>
      </c>
      <c r="C219" s="24" t="s">
        <v>120</v>
      </c>
      <c r="F219" s="32" t="n">
        <f aca="false">F210-F218</f>
        <v>1717500</v>
      </c>
      <c r="G219" s="32" t="n">
        <f aca="false">G210-G218</f>
        <v>1802853.1875</v>
      </c>
      <c r="H219" s="32" t="n">
        <f aca="false">H210-H218</f>
        <v>1892448.08724844</v>
      </c>
      <c r="I219" s="32" t="n">
        <f aca="false">I210-I218</f>
        <v>1986495.49463687</v>
      </c>
      <c r="J219" s="32" t="n">
        <f aca="false">J210-J218</f>
        <v>2085216.68067018</v>
      </c>
      <c r="K219" s="32" t="n">
        <f aca="false">K210-K218</f>
        <v>2188843.91255713</v>
      </c>
      <c r="L219" s="32" t="n">
        <f aca="false">L210-L218</f>
        <v>2297621.00017169</v>
      </c>
      <c r="M219" s="32" t="n">
        <f aca="false">M210-M218</f>
        <v>2411803.86967102</v>
      </c>
      <c r="N219" s="32" t="n">
        <f aca="false">N210-N218</f>
        <v>2531661.16561949</v>
      </c>
      <c r="O219" s="32" t="n">
        <f aca="false">O210-O218</f>
        <v>2096913.39893778</v>
      </c>
      <c r="P219" s="32" t="n">
        <f aca="false">P210-P218</f>
        <v>2036364.95251882</v>
      </c>
      <c r="Q219" s="32" t="n">
        <f aca="false">Q210-Q218</f>
        <v>2137564.33967548</v>
      </c>
      <c r="R219" s="32" t="n">
        <f aca="false">R210-R218</f>
        <v>2243792.92335314</v>
      </c>
      <c r="S219" s="32" t="n">
        <f aca="false">S210-S218</f>
        <v>2355300.63319853</v>
      </c>
      <c r="T219" s="32" t="n">
        <f aca="false">T210-T218</f>
        <v>2472349.81925257</v>
      </c>
      <c r="U219" s="32" t="n">
        <f aca="false">U210-U218</f>
        <v>2595215.86918656</v>
      </c>
      <c r="V219" s="32" t="n">
        <f aca="false">V210-V218</f>
        <v>2724187.85621209</v>
      </c>
      <c r="W219" s="32" t="n">
        <f aca="false">W210-W218</f>
        <v>2859569.21918899</v>
      </c>
      <c r="X219" s="32" t="n">
        <f aca="false">X210-X218</f>
        <v>3001678.47653125</v>
      </c>
      <c r="Y219" s="32" t="n">
        <f aca="false">Y210-Y218</f>
        <v>3150849.97559075</v>
      </c>
      <c r="Z219" s="32" t="n">
        <f aca="false">Z210-Z218</f>
        <v>0</v>
      </c>
      <c r="AA219" s="32" t="n">
        <f aca="false">AA210-AA218</f>
        <v>0</v>
      </c>
      <c r="AB219" s="32" t="n">
        <f aca="false">AB210-AB218</f>
        <v>0</v>
      </c>
      <c r="AC219" s="32" t="n">
        <f aca="false">AC210-AC218</f>
        <v>0</v>
      </c>
      <c r="AD219" s="32" t="n">
        <f aca="false">AD210-AD218</f>
        <v>0</v>
      </c>
    </row>
    <row r="220" customFormat="false" ht="15" hidden="false" customHeight="false" outlineLevel="1" collapsed="false">
      <c r="B220" s="4" t="s">
        <v>278</v>
      </c>
      <c r="C220" s="24" t="s">
        <v>111</v>
      </c>
      <c r="F220" s="62" t="n">
        <f aca="false">IF(AND(Calculations!F$7=1,F212&gt;0),F219/F212,"")</f>
        <v>1.15456249946874</v>
      </c>
      <c r="G220" s="62" t="n">
        <f aca="false">IF(AND(Calculations!G$7=1,G212&gt;0),G219/G212,"")</f>
        <v>1.21193984415441</v>
      </c>
      <c r="H220" s="62" t="n">
        <f aca="false">IF(AND(Calculations!H$7=1,H212&gt;0),H219/H212,"")</f>
        <v>1.27216861352454</v>
      </c>
      <c r="I220" s="62" t="n">
        <f aca="false">IF(AND(Calculations!I$7=1,I212&gt;0),I219/I212,"")</f>
        <v>1.33539051148258</v>
      </c>
      <c r="J220" s="62" t="n">
        <f aca="false">IF(AND(Calculations!J$7=1,J212&gt;0),J219/J212,"")</f>
        <v>1.40175428399912</v>
      </c>
      <c r="K220" s="62" t="n">
        <f aca="false">IF(AND(Calculations!K$7=1,K212&gt;0),K219/K212,"")</f>
        <v>1.47141606907069</v>
      </c>
      <c r="L220" s="62" t="n">
        <f aca="false">IF(AND(Calculations!L$7=1,L212&gt;0),L219/L212,"")</f>
        <v>1.54453976406993</v>
      </c>
      <c r="M220" s="62" t="n">
        <f aca="false">IF(AND(Calculations!M$7=1,M212&gt;0),M219/M212,"")</f>
        <v>1.62129741135124</v>
      </c>
      <c r="N220" s="62" t="n">
        <f aca="false">IF(AND(Calculations!N$7=1,N212&gt;0),N219/N212,"")</f>
        <v>1.70186960301927</v>
      </c>
      <c r="O220" s="62" t="n">
        <f aca="false">IF(AND(Calculations!O$7=1,O212&gt;0),O219/O212,"")</f>
        <v>1.40961721982364</v>
      </c>
      <c r="P220" s="62" t="str">
        <f aca="false">IF(AND(Calculations!P$7=1,P212&gt;0),P219/P212,"")</f>
        <v/>
      </c>
      <c r="Q220" s="62" t="str">
        <f aca="false">IF(AND(Calculations!Q$7=1,Q212&gt;0),Q219/Q212,"")</f>
        <v/>
      </c>
      <c r="R220" s="62" t="str">
        <f aca="false">IF(AND(Calculations!R$7=1,R212&gt;0),R219/R212,"")</f>
        <v/>
      </c>
      <c r="S220" s="62" t="str">
        <f aca="false">IF(AND(Calculations!S$7=1,S212&gt;0),S219/S212,"")</f>
        <v/>
      </c>
      <c r="T220" s="62" t="str">
        <f aca="false">IF(AND(Calculations!T$7=1,T212&gt;0),T219/T212,"")</f>
        <v/>
      </c>
      <c r="U220" s="62" t="str">
        <f aca="false">IF(AND(Calculations!U$7=1,U212&gt;0),U219/U212,"")</f>
        <v/>
      </c>
      <c r="V220" s="62" t="str">
        <f aca="false">IF(AND(Calculations!V$7=1,V212&gt;0),V219/V212,"")</f>
        <v/>
      </c>
      <c r="W220" s="62" t="str">
        <f aca="false">IF(AND(Calculations!W$7=1,W212&gt;0),W219/W212,"")</f>
        <v/>
      </c>
      <c r="X220" s="62" t="str">
        <f aca="false">IF(AND(Calculations!X$7=1,X212&gt;0),X219/X212,"")</f>
        <v/>
      </c>
      <c r="Y220" s="62" t="str">
        <f aca="false">IF(AND(Calculations!Y$7=1,Y212&gt;0),Y219/Y212,"")</f>
        <v/>
      </c>
      <c r="Z220" s="62" t="str">
        <f aca="false">IF(AND(Calculations!Z$7=1,Z212&gt;0),Z219/Z212,"")</f>
        <v/>
      </c>
      <c r="AA220" s="62" t="str">
        <f aca="false">IF(AND(Calculations!AA$7=1,AA212&gt;0),AA219/AA212,"")</f>
        <v/>
      </c>
      <c r="AB220" s="62" t="str">
        <f aca="false">IF(AND(Calculations!AB$7=1,AB212&gt;0),AB219/AB212,"")</f>
        <v/>
      </c>
      <c r="AC220" s="62" t="str">
        <f aca="false">IF(AND(Calculations!AC$7=1,AC212&gt;0),AC219/AC212,"")</f>
        <v/>
      </c>
      <c r="AD220" s="62" t="str">
        <f aca="false">IF(AND(Calculations!AD$7=1,AD212&gt;0),AD219/AD212,"")</f>
        <v/>
      </c>
    </row>
    <row r="221" customFormat="false" ht="15" hidden="false" customHeight="false" outlineLevel="1" collapsed="false">
      <c r="B221" s="4" t="s">
        <v>182</v>
      </c>
      <c r="C221" s="24" t="s">
        <v>120</v>
      </c>
      <c r="E221" s="32" t="n">
        <f aca="false">-($D$205-$D$206)</f>
        <v>-4620000</v>
      </c>
      <c r="F221" s="32" t="n">
        <f aca="false">F219-F212</f>
        <v>229923.53636959</v>
      </c>
      <c r="G221" s="32" t="n">
        <f aca="false">G219-G212</f>
        <v>315276.72386959</v>
      </c>
      <c r="H221" s="32" t="n">
        <f aca="false">H219-H212</f>
        <v>404871.623618027</v>
      </c>
      <c r="I221" s="32" t="n">
        <f aca="false">I219-I212</f>
        <v>498919.031006455</v>
      </c>
      <c r="J221" s="32" t="n">
        <f aca="false">J219-J212</f>
        <v>597640.217039774</v>
      </c>
      <c r="K221" s="32" t="n">
        <f aca="false">K219-K212</f>
        <v>701267.448926723</v>
      </c>
      <c r="L221" s="32" t="n">
        <f aca="false">L219-L212</f>
        <v>810044.536541283</v>
      </c>
      <c r="M221" s="32" t="n">
        <f aca="false">M219-M212</f>
        <v>924227.406040608</v>
      </c>
      <c r="N221" s="32" t="n">
        <f aca="false">N219-N212</f>
        <v>1044084.70198908</v>
      </c>
      <c r="O221" s="32" t="n">
        <f aca="false">O219-O212</f>
        <v>609336.935307374</v>
      </c>
      <c r="P221" s="32" t="n">
        <f aca="false">P219-P212</f>
        <v>2036364.95251882</v>
      </c>
      <c r="Q221" s="32" t="n">
        <f aca="false">Q219-Q212</f>
        <v>2137564.33967548</v>
      </c>
      <c r="R221" s="32" t="n">
        <f aca="false">R219-R212</f>
        <v>2243792.92335314</v>
      </c>
      <c r="S221" s="32" t="n">
        <f aca="false">S219-S212</f>
        <v>2355300.63319853</v>
      </c>
      <c r="T221" s="32" t="n">
        <f aca="false">T219-T212</f>
        <v>2472349.81925257</v>
      </c>
      <c r="U221" s="32" t="n">
        <f aca="false">U219-U212</f>
        <v>2595215.86918656</v>
      </c>
      <c r="V221" s="32" t="n">
        <f aca="false">V219-V212</f>
        <v>2724187.85621209</v>
      </c>
      <c r="W221" s="32" t="n">
        <f aca="false">W219-W212</f>
        <v>2859569.21918899</v>
      </c>
      <c r="X221" s="32" t="n">
        <f aca="false">X219-X212</f>
        <v>3001678.47653125</v>
      </c>
      <c r="Y221" s="32" t="n">
        <f aca="false">Y219-Y212</f>
        <v>3150849.97559075</v>
      </c>
      <c r="Z221" s="32" t="n">
        <f aca="false">Z219-Z212</f>
        <v>0</v>
      </c>
      <c r="AA221" s="32" t="n">
        <f aca="false">AA219-AA212</f>
        <v>0</v>
      </c>
      <c r="AB221" s="32" t="n">
        <f aca="false">AB219-AB212</f>
        <v>0</v>
      </c>
      <c r="AC221" s="32" t="n">
        <f aca="false">AC219-AC212</f>
        <v>0</v>
      </c>
      <c r="AD221" s="32" t="n">
        <f aca="false">AD219-AD212</f>
        <v>0</v>
      </c>
    </row>
    <row r="222" customFormat="false" ht="15" hidden="false" customHeight="false" outlineLevel="1" collapsed="false">
      <c r="B222" s="3" t="s">
        <v>208</v>
      </c>
      <c r="C222" s="24" t="s">
        <v>97</v>
      </c>
      <c r="D222" s="76" t="n">
        <f aca="false">IRR(E221:AD221)</f>
        <v>0.172966068869363</v>
      </c>
    </row>
    <row r="223" customFormat="false" ht="15" hidden="false" customHeight="false" outlineLevel="1" collapsed="false">
      <c r="B223" s="3" t="s">
        <v>210</v>
      </c>
      <c r="C223" s="24" t="s">
        <v>111</v>
      </c>
      <c r="D223" s="49" t="n">
        <f aca="false">MIN(F220:AD220)</f>
        <v>1.15456249946874</v>
      </c>
    </row>
    <row r="224" customFormat="false" ht="15" hidden="false" customHeight="false" outlineLevel="1" collapsed="false">
      <c r="B224" s="3" t="s">
        <v>262</v>
      </c>
      <c r="C224" s="24" t="s">
        <v>120</v>
      </c>
      <c r="D224" s="44" t="n">
        <f aca="false">E221+NPV(Equity_Discount_Rate,F221:AD221)</f>
        <v>545138.037317063</v>
      </c>
    </row>
    <row r="226" customFormat="false" ht="15" hidden="false" customHeight="false" outlineLevel="0" collapsed="false">
      <c r="B226" s="21" t="s">
        <v>286</v>
      </c>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row>
    <row r="227" customFormat="false" ht="15" hidden="false" customHeight="false" outlineLevel="1" collapsed="false">
      <c r="B227" s="4" t="s">
        <v>258</v>
      </c>
      <c r="C227" s="24" t="s">
        <v>111</v>
      </c>
      <c r="D227" s="62" t="n">
        <f aca="false">1+Sens_Tariff_Flex</f>
        <v>1.1</v>
      </c>
    </row>
    <row r="228" customFormat="false" ht="15" hidden="false" customHeight="false" outlineLevel="1" collapsed="false">
      <c r="B228" s="4" t="s">
        <v>259</v>
      </c>
      <c r="C228" s="24" t="s">
        <v>111</v>
      </c>
      <c r="D228" s="62" t="n">
        <f aca="false">1+Sens_Capex_Flex</f>
        <v>1.1</v>
      </c>
    </row>
    <row r="229" customFormat="false" ht="15" hidden="false" customHeight="false" outlineLevel="1" collapsed="false">
      <c r="B229" s="4" t="s">
        <v>271</v>
      </c>
      <c r="C229" s="24" t="s">
        <v>120</v>
      </c>
      <c r="D229" s="32" t="n">
        <f aca="false">Capex_Total*D228</f>
        <v>13200000</v>
      </c>
    </row>
    <row r="230" customFormat="false" ht="15" hidden="false" customHeight="false" outlineLevel="1" collapsed="false">
      <c r="B230" s="4" t="s">
        <v>272</v>
      </c>
      <c r="C230" s="24" t="s">
        <v>120</v>
      </c>
      <c r="D230" s="32" t="n">
        <f aca="false">D229*Gearing</f>
        <v>8580000</v>
      </c>
    </row>
    <row r="231" customFormat="false" ht="15" hidden="false" customHeight="false" outlineLevel="1" collapsed="false">
      <c r="B231" s="4" t="s">
        <v>273</v>
      </c>
      <c r="C231" s="24" t="s">
        <v>120</v>
      </c>
      <c r="D231" s="32" t="n">
        <f aca="false">-PMT(Interest_Rate,Debt_Tenor,D230)</f>
        <v>1487576.46363041</v>
      </c>
    </row>
    <row r="232" customFormat="false" ht="15" hidden="false" customHeight="false" outlineLevel="1" collapsed="false">
      <c r="B232" s="4" t="s">
        <v>144</v>
      </c>
      <c r="C232" s="24"/>
      <c r="E232" s="75" t="n">
        <f aca="false">Calculations!E$5</f>
        <v>0</v>
      </c>
      <c r="F232" s="75" t="n">
        <f aca="false">Calculations!F$5</f>
        <v>1</v>
      </c>
      <c r="G232" s="75" t="n">
        <f aca="false">Calculations!G$5</f>
        <v>2</v>
      </c>
      <c r="H232" s="75" t="n">
        <f aca="false">Calculations!H$5</f>
        <v>3</v>
      </c>
      <c r="I232" s="75" t="n">
        <f aca="false">Calculations!I$5</f>
        <v>4</v>
      </c>
      <c r="J232" s="75" t="n">
        <f aca="false">Calculations!J$5</f>
        <v>5</v>
      </c>
      <c r="K232" s="75" t="n">
        <f aca="false">Calculations!K$5</f>
        <v>6</v>
      </c>
      <c r="L232" s="75" t="n">
        <f aca="false">Calculations!L$5</f>
        <v>7</v>
      </c>
      <c r="M232" s="75" t="n">
        <f aca="false">Calculations!M$5</f>
        <v>8</v>
      </c>
      <c r="N232" s="75" t="n">
        <f aca="false">Calculations!N$5</f>
        <v>9</v>
      </c>
      <c r="O232" s="75" t="n">
        <f aca="false">Calculations!O$5</f>
        <v>10</v>
      </c>
      <c r="P232" s="75" t="n">
        <f aca="false">Calculations!P$5</f>
        <v>11</v>
      </c>
      <c r="Q232" s="75" t="n">
        <f aca="false">Calculations!Q$5</f>
        <v>12</v>
      </c>
      <c r="R232" s="75" t="n">
        <f aca="false">Calculations!R$5</f>
        <v>13</v>
      </c>
      <c r="S232" s="75" t="n">
        <f aca="false">Calculations!S$5</f>
        <v>14</v>
      </c>
      <c r="T232" s="75" t="n">
        <f aca="false">Calculations!T$5</f>
        <v>15</v>
      </c>
      <c r="U232" s="75" t="n">
        <f aca="false">Calculations!U$5</f>
        <v>16</v>
      </c>
      <c r="V232" s="75" t="n">
        <f aca="false">Calculations!V$5</f>
        <v>17</v>
      </c>
      <c r="W232" s="75" t="n">
        <f aca="false">Calculations!W$5</f>
        <v>18</v>
      </c>
      <c r="X232" s="75" t="n">
        <f aca="false">Calculations!X$5</f>
        <v>19</v>
      </c>
      <c r="Y232" s="75" t="n">
        <f aca="false">Calculations!Y$5</f>
        <v>20</v>
      </c>
      <c r="Z232" s="75" t="n">
        <f aca="false">Calculations!Z$5</f>
        <v>21</v>
      </c>
      <c r="AA232" s="75" t="n">
        <f aca="false">Calculations!AA$5</f>
        <v>22</v>
      </c>
      <c r="AB232" s="75" t="n">
        <f aca="false">Calculations!AB$5</f>
        <v>23</v>
      </c>
      <c r="AC232" s="75" t="n">
        <f aca="false">Calculations!AC$5</f>
        <v>24</v>
      </c>
      <c r="AD232" s="75" t="n">
        <f aca="false">Calculations!AD$5</f>
        <v>25</v>
      </c>
    </row>
    <row r="233" customFormat="false" ht="15" hidden="false" customHeight="false" outlineLevel="1" collapsed="false">
      <c r="B233" s="4" t="s">
        <v>152</v>
      </c>
      <c r="C233" s="24" t="s">
        <v>120</v>
      </c>
      <c r="F233" s="32" t="n">
        <f aca="false">Calculations!F$12*$D$227</f>
        <v>2087250</v>
      </c>
      <c r="G233" s="32" t="n">
        <f aca="false">Calculations!G$12*$D$227</f>
        <v>2191038.50625</v>
      </c>
      <c r="H233" s="32" t="n">
        <f aca="false">Calculations!H$12*$D$227</f>
        <v>2299987.89597328</v>
      </c>
      <c r="I233" s="32" t="n">
        <f aca="false">Calculations!I$12*$D$227</f>
        <v>2414354.79410055</v>
      </c>
      <c r="J233" s="32" t="n">
        <f aca="false">Calculations!J$12*$D$227</f>
        <v>2534408.5862372</v>
      </c>
      <c r="K233" s="32" t="n">
        <f aca="false">Calculations!K$12*$D$227</f>
        <v>2660432.05318785</v>
      </c>
      <c r="L233" s="32" t="n">
        <f aca="false">Calculations!L$12*$D$227</f>
        <v>2792722.03703261</v>
      </c>
      <c r="M233" s="32" t="n">
        <f aca="false">Calculations!M$12*$D$227</f>
        <v>2931590.14032406</v>
      </c>
      <c r="N233" s="32" t="n">
        <f aca="false">Calculations!N$12*$D$227</f>
        <v>3077363.46005167</v>
      </c>
      <c r="O233" s="32" t="n">
        <f aca="false">Calculations!O$12*$D$227</f>
        <v>3230385.35810274</v>
      </c>
      <c r="P233" s="32" t="n">
        <f aca="false">Calculations!P$12*$D$227</f>
        <v>3391016.2700344</v>
      </c>
      <c r="Q233" s="32" t="n">
        <f aca="false">Calculations!Q$12*$D$227</f>
        <v>3559634.55406186</v>
      </c>
      <c r="R233" s="32" t="n">
        <f aca="false">Calculations!R$12*$D$227</f>
        <v>3736637.38226259</v>
      </c>
      <c r="S233" s="32" t="n">
        <f aca="false">Calculations!S$12*$D$227</f>
        <v>3922441.67609559</v>
      </c>
      <c r="T233" s="32" t="n">
        <f aca="false">Calculations!T$12*$D$227</f>
        <v>4117485.08843945</v>
      </c>
      <c r="U233" s="32" t="n">
        <f aca="false">Calculations!U$12*$D$227</f>
        <v>4322227.0344621</v>
      </c>
      <c r="V233" s="32" t="n">
        <f aca="false">Calculations!V$12*$D$227</f>
        <v>4537149.77375072</v>
      </c>
      <c r="W233" s="32" t="n">
        <f aca="false">Calculations!W$12*$D$227</f>
        <v>4762759.54625048</v>
      </c>
      <c r="X233" s="32" t="n">
        <f aca="false">Calculations!X$12*$D$227</f>
        <v>4999587.76468779</v>
      </c>
      <c r="Y233" s="32" t="n">
        <f aca="false">Calculations!Y$12*$D$227</f>
        <v>5248192.26628688</v>
      </c>
      <c r="Z233" s="32" t="n">
        <f aca="false">Calculations!Z$12*$D$227</f>
        <v>0</v>
      </c>
      <c r="AA233" s="32" t="n">
        <f aca="false">Calculations!AA$12*$D$227</f>
        <v>0</v>
      </c>
      <c r="AB233" s="32" t="n">
        <f aca="false">Calculations!AB$12*$D$227</f>
        <v>0</v>
      </c>
      <c r="AC233" s="32" t="n">
        <f aca="false">Calculations!AC$12*$D$227</f>
        <v>0</v>
      </c>
      <c r="AD233" s="32" t="n">
        <f aca="false">Calculations!AD$12*$D$227</f>
        <v>0</v>
      </c>
    </row>
    <row r="234" customFormat="false" ht="15" hidden="false" customHeight="false" outlineLevel="1" collapsed="false">
      <c r="B234" s="4" t="s">
        <v>155</v>
      </c>
      <c r="C234" s="24" t="s">
        <v>120</v>
      </c>
      <c r="F234" s="32" t="n">
        <f aca="false">F233-Calculations!F$15</f>
        <v>1907250</v>
      </c>
      <c r="G234" s="32" t="n">
        <f aca="false">G233-Calculations!G$15</f>
        <v>2002038.50625</v>
      </c>
      <c r="H234" s="32" t="n">
        <f aca="false">H233-Calculations!H$15</f>
        <v>2101537.89597328</v>
      </c>
      <c r="I234" s="32" t="n">
        <f aca="false">I233-Calculations!I$15</f>
        <v>2205982.29410055</v>
      </c>
      <c r="J234" s="32" t="n">
        <f aca="false">J233-Calculations!J$15</f>
        <v>2315617.4612372</v>
      </c>
      <c r="K234" s="32" t="n">
        <f aca="false">K233-Calculations!K$15</f>
        <v>2430701.37193785</v>
      </c>
      <c r="L234" s="32" t="n">
        <f aca="false">L233-Calculations!L$15</f>
        <v>2551504.82172011</v>
      </c>
      <c r="M234" s="32" t="n">
        <f aca="false">M233-Calculations!M$15</f>
        <v>2678312.06424593</v>
      </c>
      <c r="N234" s="32" t="n">
        <f aca="false">N233-Calculations!N$15</f>
        <v>2811421.48016964</v>
      </c>
      <c r="O234" s="32" t="n">
        <f aca="false">O233-Calculations!O$15</f>
        <v>2951146.27922661</v>
      </c>
      <c r="P234" s="32" t="n">
        <f aca="false">P233-Calculations!P$15</f>
        <v>3097815.23721446</v>
      </c>
      <c r="Q234" s="32" t="n">
        <f aca="false">Q233-Calculations!Q$15</f>
        <v>3251773.46960092</v>
      </c>
      <c r="R234" s="32" t="n">
        <f aca="false">R233-Calculations!R$15</f>
        <v>3413383.2435786</v>
      </c>
      <c r="S234" s="32" t="n">
        <f aca="false">S233-Calculations!S$15</f>
        <v>3583024.83047741</v>
      </c>
      <c r="T234" s="32" t="n">
        <f aca="false">T233-Calculations!T$15</f>
        <v>3761097.40054035</v>
      </c>
      <c r="U234" s="32" t="n">
        <f aca="false">U233-Calculations!U$15</f>
        <v>3948019.96216805</v>
      </c>
      <c r="V234" s="32" t="n">
        <f aca="false">V233-Calculations!V$15</f>
        <v>4144232.34784198</v>
      </c>
      <c r="W234" s="32" t="n">
        <f aca="false">W233-Calculations!W$15</f>
        <v>4350196.24904629</v>
      </c>
      <c r="X234" s="32" t="n">
        <f aca="false">X233-Calculations!X$15</f>
        <v>4566396.30262339</v>
      </c>
      <c r="Y234" s="32" t="n">
        <f aca="false">Y233-Calculations!Y$15</f>
        <v>4793341.23111927</v>
      </c>
      <c r="Z234" s="32" t="n">
        <f aca="false">Z233-Calculations!Z$15</f>
        <v>0</v>
      </c>
      <c r="AA234" s="32" t="n">
        <f aca="false">AA233-Calculations!AA$15</f>
        <v>0</v>
      </c>
      <c r="AB234" s="32" t="n">
        <f aca="false">AB233-Calculations!AB$15</f>
        <v>0</v>
      </c>
      <c r="AC234" s="32" t="n">
        <f aca="false">AC233-Calculations!AC$15</f>
        <v>0</v>
      </c>
      <c r="AD234" s="32" t="n">
        <f aca="false">AD233-Calculations!AD$15</f>
        <v>0</v>
      </c>
    </row>
    <row r="235" customFormat="false" ht="15" hidden="false" customHeight="false" outlineLevel="1" collapsed="false">
      <c r="B235" s="4" t="s">
        <v>274</v>
      </c>
      <c r="C235" s="24" t="s">
        <v>120</v>
      </c>
      <c r="F235" s="32" t="n">
        <f aca="false">E238*Interest_Rate*Calculations!F$7</f>
        <v>986700</v>
      </c>
      <c r="G235" s="32" t="n">
        <f aca="false">F238*Interest_Rate*Calculations!G$7</f>
        <v>929099.206682503</v>
      </c>
      <c r="H235" s="32" t="n">
        <f aca="false">G238*Interest_Rate*Calculations!H$7</f>
        <v>864874.322133494</v>
      </c>
      <c r="I235" s="32" t="n">
        <f aca="false">H238*Interest_Rate*Calculations!I$7</f>
        <v>793263.575861348</v>
      </c>
      <c r="J235" s="32" t="n">
        <f aca="false">I238*Interest_Rate*Calculations!J$7</f>
        <v>713417.593767906</v>
      </c>
      <c r="K235" s="32" t="n">
        <f aca="false">J238*Interest_Rate*Calculations!K$7</f>
        <v>624389.323733719</v>
      </c>
      <c r="L235" s="32" t="n">
        <f aca="false">K238*Interest_Rate*Calculations!L$7</f>
        <v>525122.802645599</v>
      </c>
      <c r="M235" s="32" t="n">
        <f aca="false">L238*Interest_Rate*Calculations!M$7</f>
        <v>414440.631632346</v>
      </c>
      <c r="N235" s="32" t="n">
        <f aca="false">M238*Interest_Rate*Calculations!N$7</f>
        <v>291030.010952568</v>
      </c>
      <c r="O235" s="32" t="n">
        <f aca="false">N238*Interest_Rate*Calculations!O$7</f>
        <v>153427.168894616</v>
      </c>
      <c r="P235" s="32" t="n">
        <f aca="false">O238*Interest_Rate*Calculations!P$7</f>
        <v>0</v>
      </c>
      <c r="Q235" s="32" t="n">
        <f aca="false">P238*Interest_Rate*Calculations!Q$7</f>
        <v>0</v>
      </c>
      <c r="R235" s="32" t="n">
        <f aca="false">Q238*Interest_Rate*Calculations!R$7</f>
        <v>0</v>
      </c>
      <c r="S235" s="32" t="n">
        <f aca="false">R238*Interest_Rate*Calculations!S$7</f>
        <v>0</v>
      </c>
      <c r="T235" s="32" t="n">
        <f aca="false">S238*Interest_Rate*Calculations!T$7</f>
        <v>0</v>
      </c>
      <c r="U235" s="32" t="n">
        <f aca="false">T238*Interest_Rate*Calculations!U$7</f>
        <v>0</v>
      </c>
      <c r="V235" s="32" t="n">
        <f aca="false">U238*Interest_Rate*Calculations!V$7</f>
        <v>0</v>
      </c>
      <c r="W235" s="32" t="n">
        <f aca="false">V238*Interest_Rate*Calculations!W$7</f>
        <v>0</v>
      </c>
      <c r="X235" s="32" t="n">
        <f aca="false">W238*Interest_Rate*Calculations!X$7</f>
        <v>0</v>
      </c>
      <c r="Y235" s="32" t="n">
        <f aca="false">X238*Interest_Rate*Calculations!Y$7</f>
        <v>0</v>
      </c>
      <c r="Z235" s="32" t="n">
        <f aca="false">Y238*Interest_Rate*Calculations!Z$7</f>
        <v>0</v>
      </c>
      <c r="AA235" s="32" t="n">
        <f aca="false">Z238*Interest_Rate*Calculations!AA$7</f>
        <v>0</v>
      </c>
      <c r="AB235" s="32" t="n">
        <f aca="false">AA238*Interest_Rate*Calculations!AB$7</f>
        <v>0</v>
      </c>
      <c r="AC235" s="32" t="n">
        <f aca="false">AB238*Interest_Rate*Calculations!AC$7</f>
        <v>0</v>
      </c>
      <c r="AD235" s="32" t="n">
        <f aca="false">AC238*Interest_Rate*Calculations!AD$7</f>
        <v>0</v>
      </c>
    </row>
    <row r="236" customFormat="false" ht="15" hidden="false" customHeight="false" outlineLevel="1" collapsed="false">
      <c r="B236" s="4" t="s">
        <v>177</v>
      </c>
      <c r="C236" s="24" t="s">
        <v>120</v>
      </c>
      <c r="F236" s="32" t="n">
        <f aca="false">$D$231*Calculations!F$7</f>
        <v>1487576.46363041</v>
      </c>
      <c r="G236" s="32" t="n">
        <f aca="false">$D$231*Calculations!G$7</f>
        <v>1487576.46363041</v>
      </c>
      <c r="H236" s="32" t="n">
        <f aca="false">$D$231*Calculations!H$7</f>
        <v>1487576.46363041</v>
      </c>
      <c r="I236" s="32" t="n">
        <f aca="false">$D$231*Calculations!I$7</f>
        <v>1487576.46363041</v>
      </c>
      <c r="J236" s="32" t="n">
        <f aca="false">$D$231*Calculations!J$7</f>
        <v>1487576.46363041</v>
      </c>
      <c r="K236" s="32" t="n">
        <f aca="false">$D$231*Calculations!K$7</f>
        <v>1487576.46363041</v>
      </c>
      <c r="L236" s="32" t="n">
        <f aca="false">$D$231*Calculations!L$7</f>
        <v>1487576.46363041</v>
      </c>
      <c r="M236" s="32" t="n">
        <f aca="false">$D$231*Calculations!M$7</f>
        <v>1487576.46363041</v>
      </c>
      <c r="N236" s="32" t="n">
        <f aca="false">$D$231*Calculations!N$7</f>
        <v>1487576.46363041</v>
      </c>
      <c r="O236" s="32" t="n">
        <f aca="false">$D$231*Calculations!O$7</f>
        <v>1487576.46363041</v>
      </c>
      <c r="P236" s="32" t="n">
        <f aca="false">$D$231*Calculations!P$7</f>
        <v>0</v>
      </c>
      <c r="Q236" s="32" t="n">
        <f aca="false">$D$231*Calculations!Q$7</f>
        <v>0</v>
      </c>
      <c r="R236" s="32" t="n">
        <f aca="false">$D$231*Calculations!R$7</f>
        <v>0</v>
      </c>
      <c r="S236" s="32" t="n">
        <f aca="false">$D$231*Calculations!S$7</f>
        <v>0</v>
      </c>
      <c r="T236" s="32" t="n">
        <f aca="false">$D$231*Calculations!T$7</f>
        <v>0</v>
      </c>
      <c r="U236" s="32" t="n">
        <f aca="false">$D$231*Calculations!U$7</f>
        <v>0</v>
      </c>
      <c r="V236" s="32" t="n">
        <f aca="false">$D$231*Calculations!V$7</f>
        <v>0</v>
      </c>
      <c r="W236" s="32" t="n">
        <f aca="false">$D$231*Calculations!W$7</f>
        <v>0</v>
      </c>
      <c r="X236" s="32" t="n">
        <f aca="false">$D$231*Calculations!X$7</f>
        <v>0</v>
      </c>
      <c r="Y236" s="32" t="n">
        <f aca="false">$D$231*Calculations!Y$7</f>
        <v>0</v>
      </c>
      <c r="Z236" s="32" t="n">
        <f aca="false">$D$231*Calculations!Z$7</f>
        <v>0</v>
      </c>
      <c r="AA236" s="32" t="n">
        <f aca="false">$D$231*Calculations!AA$7</f>
        <v>0</v>
      </c>
      <c r="AB236" s="32" t="n">
        <f aca="false">$D$231*Calculations!AB$7</f>
        <v>0</v>
      </c>
      <c r="AC236" s="32" t="n">
        <f aca="false">$D$231*Calculations!AC$7</f>
        <v>0</v>
      </c>
      <c r="AD236" s="32" t="n">
        <f aca="false">$D$231*Calculations!AD$7</f>
        <v>0</v>
      </c>
    </row>
    <row r="237" customFormat="false" ht="15" hidden="false" customHeight="false" outlineLevel="1" collapsed="false">
      <c r="B237" s="4" t="s">
        <v>275</v>
      </c>
      <c r="C237" s="24" t="s">
        <v>120</v>
      </c>
      <c r="F237" s="32" t="n">
        <f aca="false">F236-F235</f>
        <v>500876.46363041</v>
      </c>
      <c r="G237" s="32" t="n">
        <f aca="false">G236-G235</f>
        <v>558477.256947907</v>
      </c>
      <c r="H237" s="32" t="n">
        <f aca="false">H236-H235</f>
        <v>622702.141496916</v>
      </c>
      <c r="I237" s="32" t="n">
        <f aca="false">I236-I235</f>
        <v>694312.887769062</v>
      </c>
      <c r="J237" s="32" t="n">
        <f aca="false">J236-J235</f>
        <v>774158.869862504</v>
      </c>
      <c r="K237" s="32" t="n">
        <f aca="false">K236-K235</f>
        <v>863187.139896692</v>
      </c>
      <c r="L237" s="32" t="n">
        <f aca="false">L236-L235</f>
        <v>962453.660984811</v>
      </c>
      <c r="M237" s="32" t="n">
        <f aca="false">M236-M235</f>
        <v>1073135.83199806</v>
      </c>
      <c r="N237" s="32" t="n">
        <f aca="false">N236-N235</f>
        <v>1196546.45267784</v>
      </c>
      <c r="O237" s="32" t="n">
        <f aca="false">O236-O235</f>
        <v>1334149.29473579</v>
      </c>
      <c r="P237" s="32" t="n">
        <f aca="false">P236-P235</f>
        <v>0</v>
      </c>
      <c r="Q237" s="32" t="n">
        <f aca="false">Q236-Q235</f>
        <v>0</v>
      </c>
      <c r="R237" s="32" t="n">
        <f aca="false">R236-R235</f>
        <v>0</v>
      </c>
      <c r="S237" s="32" t="n">
        <f aca="false">S236-S235</f>
        <v>0</v>
      </c>
      <c r="T237" s="32" t="n">
        <f aca="false">T236-T235</f>
        <v>0</v>
      </c>
      <c r="U237" s="32" t="n">
        <f aca="false">U236-U235</f>
        <v>0</v>
      </c>
      <c r="V237" s="32" t="n">
        <f aca="false">V236-V235</f>
        <v>0</v>
      </c>
      <c r="W237" s="32" t="n">
        <f aca="false">W236-W235</f>
        <v>0</v>
      </c>
      <c r="X237" s="32" t="n">
        <f aca="false">X236-X235</f>
        <v>0</v>
      </c>
      <c r="Y237" s="32" t="n">
        <f aca="false">Y236-Y235</f>
        <v>0</v>
      </c>
      <c r="Z237" s="32" t="n">
        <f aca="false">Z236-Z235</f>
        <v>0</v>
      </c>
      <c r="AA237" s="32" t="n">
        <f aca="false">AA236-AA235</f>
        <v>0</v>
      </c>
      <c r="AB237" s="32" t="n">
        <f aca="false">AB236-AB235</f>
        <v>0</v>
      </c>
      <c r="AC237" s="32" t="n">
        <f aca="false">AC236-AC235</f>
        <v>0</v>
      </c>
      <c r="AD237" s="32" t="n">
        <f aca="false">AD236-AD235</f>
        <v>0</v>
      </c>
    </row>
    <row r="238" customFormat="false" ht="15" hidden="false" customHeight="false" outlineLevel="1" collapsed="false">
      <c r="B238" s="4" t="s">
        <v>276</v>
      </c>
      <c r="C238" s="24" t="s">
        <v>120</v>
      </c>
      <c r="E238" s="32" t="n">
        <f aca="false">$D$230</f>
        <v>8580000</v>
      </c>
      <c r="F238" s="32" t="n">
        <f aca="false">E238-F237</f>
        <v>8079123.53636959</v>
      </c>
      <c r="G238" s="32" t="n">
        <f aca="false">F238-G237</f>
        <v>7520646.27942169</v>
      </c>
      <c r="H238" s="32" t="n">
        <f aca="false">G238-H237</f>
        <v>6897944.13792477</v>
      </c>
      <c r="I238" s="32" t="n">
        <f aca="false">H238-I237</f>
        <v>6203631.25015571</v>
      </c>
      <c r="J238" s="32" t="n">
        <f aca="false">I238-J237</f>
        <v>5429472.3802932</v>
      </c>
      <c r="K238" s="32" t="n">
        <f aca="false">J238-K237</f>
        <v>4566285.24039651</v>
      </c>
      <c r="L238" s="32" t="n">
        <f aca="false">K238-L237</f>
        <v>3603831.5794117</v>
      </c>
      <c r="M238" s="32" t="n">
        <f aca="false">L238-M237</f>
        <v>2530695.74741364</v>
      </c>
      <c r="N238" s="32" t="n">
        <f aca="false">M238-N237</f>
        <v>1334149.29473579</v>
      </c>
      <c r="O238" s="32" t="n">
        <f aca="false">N238-O237</f>
        <v>0</v>
      </c>
      <c r="P238" s="32" t="n">
        <f aca="false">O238-P237</f>
        <v>0</v>
      </c>
      <c r="Q238" s="32" t="n">
        <f aca="false">P238-Q237</f>
        <v>0</v>
      </c>
      <c r="R238" s="32" t="n">
        <f aca="false">Q238-R237</f>
        <v>0</v>
      </c>
      <c r="S238" s="32" t="n">
        <f aca="false">R238-S237</f>
        <v>0</v>
      </c>
      <c r="T238" s="32" t="n">
        <f aca="false">S238-T237</f>
        <v>0</v>
      </c>
      <c r="U238" s="32" t="n">
        <f aca="false">T238-U237</f>
        <v>0</v>
      </c>
      <c r="V238" s="32" t="n">
        <f aca="false">U238-V237</f>
        <v>0</v>
      </c>
      <c r="W238" s="32" t="n">
        <f aca="false">V238-W237</f>
        <v>0</v>
      </c>
      <c r="X238" s="32" t="n">
        <f aca="false">W238-X237</f>
        <v>0</v>
      </c>
      <c r="Y238" s="32" t="n">
        <f aca="false">X238-Y237</f>
        <v>0</v>
      </c>
      <c r="Z238" s="32" t="n">
        <f aca="false">Y238-Z237</f>
        <v>0</v>
      </c>
      <c r="AA238" s="32" t="n">
        <f aca="false">Z238-AA237</f>
        <v>0</v>
      </c>
      <c r="AB238" s="32" t="n">
        <f aca="false">AA238-AB237</f>
        <v>0</v>
      </c>
      <c r="AC238" s="32" t="n">
        <f aca="false">AB238-AC237</f>
        <v>0</v>
      </c>
      <c r="AD238" s="32" t="n">
        <f aca="false">AC238-AD237</f>
        <v>0</v>
      </c>
    </row>
    <row r="239" customFormat="false" ht="15" hidden="false" customHeight="false" outlineLevel="1" collapsed="false">
      <c r="B239" s="4" t="s">
        <v>277</v>
      </c>
      <c r="C239" s="24" t="s">
        <v>120</v>
      </c>
      <c r="F239" s="32" t="n">
        <f aca="false">Calculations!F$20*$D$228</f>
        <v>13200000</v>
      </c>
      <c r="G239" s="32" t="n">
        <f aca="false">Calculations!G$20*$D$228</f>
        <v>0</v>
      </c>
      <c r="H239" s="32" t="n">
        <f aca="false">Calculations!H$20*$D$228</f>
        <v>0</v>
      </c>
      <c r="I239" s="32" t="n">
        <f aca="false">Calculations!I$20*$D$228</f>
        <v>0</v>
      </c>
      <c r="J239" s="32" t="n">
        <f aca="false">Calculations!J$20*$D$228</f>
        <v>0</v>
      </c>
      <c r="K239" s="32" t="n">
        <f aca="false">Calculations!K$20*$D$228</f>
        <v>0</v>
      </c>
      <c r="L239" s="32" t="n">
        <f aca="false">Calculations!L$20*$D$228</f>
        <v>0</v>
      </c>
      <c r="M239" s="32" t="n">
        <f aca="false">Calculations!M$20*$D$228</f>
        <v>0</v>
      </c>
      <c r="N239" s="32" t="n">
        <f aca="false">Calculations!N$20*$D$228</f>
        <v>0</v>
      </c>
      <c r="O239" s="32" t="n">
        <f aca="false">Calculations!O$20*$D$228</f>
        <v>0</v>
      </c>
      <c r="P239" s="32" t="n">
        <f aca="false">Calculations!P$20*$D$228</f>
        <v>0</v>
      </c>
      <c r="Q239" s="32" t="n">
        <f aca="false">Calculations!Q$20*$D$228</f>
        <v>0</v>
      </c>
      <c r="R239" s="32" t="n">
        <f aca="false">Calculations!R$20*$D$228</f>
        <v>0</v>
      </c>
      <c r="S239" s="32" t="n">
        <f aca="false">Calculations!S$20*$D$228</f>
        <v>0</v>
      </c>
      <c r="T239" s="32" t="n">
        <f aca="false">Calculations!T$20*$D$228</f>
        <v>0</v>
      </c>
      <c r="U239" s="32" t="n">
        <f aca="false">Calculations!U$20*$D$228</f>
        <v>0</v>
      </c>
      <c r="V239" s="32" t="n">
        <f aca="false">Calculations!V$20*$D$228</f>
        <v>0</v>
      </c>
      <c r="W239" s="32" t="n">
        <f aca="false">Calculations!W$20*$D$228</f>
        <v>0</v>
      </c>
      <c r="X239" s="32" t="n">
        <f aca="false">Calculations!X$20*$D$228</f>
        <v>0</v>
      </c>
      <c r="Y239" s="32" t="n">
        <f aca="false">Calculations!Y$20*$D$228</f>
        <v>0</v>
      </c>
      <c r="Z239" s="32" t="n">
        <f aca="false">Calculations!Z$20*$D$228</f>
        <v>0</v>
      </c>
      <c r="AA239" s="32" t="n">
        <f aca="false">Calculations!AA$20*$D$228</f>
        <v>0</v>
      </c>
      <c r="AB239" s="32" t="n">
        <f aca="false">Calculations!AB$20*$D$228</f>
        <v>0</v>
      </c>
      <c r="AC239" s="32" t="n">
        <f aca="false">Calculations!AC$20*$D$228</f>
        <v>0</v>
      </c>
      <c r="AD239" s="32" t="n">
        <f aca="false">Calculations!AD$20*$D$228</f>
        <v>0</v>
      </c>
    </row>
    <row r="240" customFormat="false" ht="15" hidden="false" customHeight="false" outlineLevel="1" collapsed="false">
      <c r="B240" s="4" t="s">
        <v>169</v>
      </c>
      <c r="C240" s="24" t="s">
        <v>120</v>
      </c>
      <c r="F240" s="32" t="n">
        <f aca="false">F234-F235-F239</f>
        <v>-12279450</v>
      </c>
      <c r="G240" s="32" t="n">
        <f aca="false">G234-G235-G239</f>
        <v>1072939.2995675</v>
      </c>
      <c r="H240" s="32" t="n">
        <f aca="false">H234-H235-H239</f>
        <v>1236663.57383979</v>
      </c>
      <c r="I240" s="32" t="n">
        <f aca="false">I234-I235-I239</f>
        <v>1412718.7182392</v>
      </c>
      <c r="J240" s="32" t="n">
        <f aca="false">J234-J235-J239</f>
        <v>1602199.8674693</v>
      </c>
      <c r="K240" s="32" t="n">
        <f aca="false">K234-K235-K239</f>
        <v>1806312.04820413</v>
      </c>
      <c r="L240" s="32" t="n">
        <f aca="false">L234-L235-L239</f>
        <v>2026382.01907451</v>
      </c>
      <c r="M240" s="32" t="n">
        <f aca="false">M234-M235-M239</f>
        <v>2263871.43261359</v>
      </c>
      <c r="N240" s="32" t="n">
        <f aca="false">N234-N235-N239</f>
        <v>2520391.46921707</v>
      </c>
      <c r="O240" s="32" t="n">
        <f aca="false">O234-O235-O239</f>
        <v>2797719.11033199</v>
      </c>
      <c r="P240" s="32" t="n">
        <f aca="false">P234-P235-P239</f>
        <v>3097815.23721446</v>
      </c>
      <c r="Q240" s="32" t="n">
        <f aca="false">Q234-Q235-Q239</f>
        <v>3251773.46960092</v>
      </c>
      <c r="R240" s="32" t="n">
        <f aca="false">R234-R235-R239</f>
        <v>3413383.2435786</v>
      </c>
      <c r="S240" s="32" t="n">
        <f aca="false">S234-S235-S239</f>
        <v>3583024.83047741</v>
      </c>
      <c r="T240" s="32" t="n">
        <f aca="false">T234-T235-T239</f>
        <v>3761097.40054035</v>
      </c>
      <c r="U240" s="32" t="n">
        <f aca="false">U234-U235-U239</f>
        <v>3948019.96216805</v>
      </c>
      <c r="V240" s="32" t="n">
        <f aca="false">V234-V235-V239</f>
        <v>4144232.34784198</v>
      </c>
      <c r="W240" s="32" t="n">
        <f aca="false">W234-W235-W239</f>
        <v>4350196.24904629</v>
      </c>
      <c r="X240" s="32" t="n">
        <f aca="false">X234-X235-X239</f>
        <v>4566396.30262339</v>
      </c>
      <c r="Y240" s="32" t="n">
        <f aca="false">Y234-Y235-Y239</f>
        <v>4793341.23111927</v>
      </c>
      <c r="Z240" s="32" t="n">
        <f aca="false">Z234-Z235-Z239</f>
        <v>0</v>
      </c>
      <c r="AA240" s="32" t="n">
        <f aca="false">AA234-AA235-AA239</f>
        <v>0</v>
      </c>
      <c r="AB240" s="32" t="n">
        <f aca="false">AB234-AB235-AB239</f>
        <v>0</v>
      </c>
      <c r="AC240" s="32" t="n">
        <f aca="false">AC234-AC235-AC239</f>
        <v>0</v>
      </c>
      <c r="AD240" s="32" t="n">
        <f aca="false">AD234-AD235-AD239</f>
        <v>0</v>
      </c>
    </row>
    <row r="241" customFormat="false" ht="15" hidden="false" customHeight="false" outlineLevel="1" collapsed="false">
      <c r="B241" s="4" t="s">
        <v>172</v>
      </c>
      <c r="C241" s="24" t="s">
        <v>120</v>
      </c>
      <c r="F241" s="32" t="n">
        <f aca="false">MAX(0,E241-F240)</f>
        <v>12279450</v>
      </c>
      <c r="G241" s="32" t="n">
        <f aca="false">MAX(0,F241-G240)</f>
        <v>11206510.7004325</v>
      </c>
      <c r="H241" s="32" t="n">
        <f aca="false">MAX(0,G241-H240)</f>
        <v>9969847.12659272</v>
      </c>
      <c r="I241" s="32" t="n">
        <f aca="false">MAX(0,H241-I240)</f>
        <v>8557128.40835352</v>
      </c>
      <c r="J241" s="32" t="n">
        <f aca="false">MAX(0,I241-J240)</f>
        <v>6954928.54088422</v>
      </c>
      <c r="K241" s="32" t="n">
        <f aca="false">MAX(0,J241-K240)</f>
        <v>5148616.49268009</v>
      </c>
      <c r="L241" s="32" t="n">
        <f aca="false">MAX(0,K241-L240)</f>
        <v>3122234.47360558</v>
      </c>
      <c r="M241" s="32" t="n">
        <f aca="false">MAX(0,L241-M240)</f>
        <v>858363.04099199</v>
      </c>
      <c r="N241" s="32" t="n">
        <f aca="false">MAX(0,M241-N240)</f>
        <v>0</v>
      </c>
      <c r="O241" s="32" t="n">
        <f aca="false">MAX(0,N241-O240)</f>
        <v>0</v>
      </c>
      <c r="P241" s="32" t="n">
        <f aca="false">MAX(0,O241-P240)</f>
        <v>0</v>
      </c>
      <c r="Q241" s="32" t="n">
        <f aca="false">MAX(0,P241-Q240)</f>
        <v>0</v>
      </c>
      <c r="R241" s="32" t="n">
        <f aca="false">MAX(0,Q241-R240)</f>
        <v>0</v>
      </c>
      <c r="S241" s="32" t="n">
        <f aca="false">MAX(0,R241-S240)</f>
        <v>0</v>
      </c>
      <c r="T241" s="32" t="n">
        <f aca="false">MAX(0,S241-T240)</f>
        <v>0</v>
      </c>
      <c r="U241" s="32" t="n">
        <f aca="false">MAX(0,T241-U240)</f>
        <v>0</v>
      </c>
      <c r="V241" s="32" t="n">
        <f aca="false">MAX(0,U241-V240)</f>
        <v>0</v>
      </c>
      <c r="W241" s="32" t="n">
        <f aca="false">MAX(0,V241-W240)</f>
        <v>0</v>
      </c>
      <c r="X241" s="32" t="n">
        <f aca="false">MAX(0,W241-X240)</f>
        <v>0</v>
      </c>
      <c r="Y241" s="32" t="n">
        <f aca="false">MAX(0,X241-Y240)</f>
        <v>0</v>
      </c>
      <c r="Z241" s="32" t="n">
        <f aca="false">MAX(0,Y241-Z240)</f>
        <v>0</v>
      </c>
      <c r="AA241" s="32" t="n">
        <f aca="false">MAX(0,Z241-AA240)</f>
        <v>0</v>
      </c>
      <c r="AB241" s="32" t="n">
        <f aca="false">MAX(0,AA241-AB240)</f>
        <v>0</v>
      </c>
      <c r="AC241" s="32" t="n">
        <f aca="false">MAX(0,AB241-AC240)</f>
        <v>0</v>
      </c>
      <c r="AD241" s="32" t="n">
        <f aca="false">MAX(0,AC241-AD240)</f>
        <v>0</v>
      </c>
    </row>
    <row r="242" customFormat="false" ht="15" hidden="false" customHeight="false" outlineLevel="1" collapsed="false">
      <c r="B242" s="4" t="s">
        <v>173</v>
      </c>
      <c r="C242" s="24" t="s">
        <v>120</v>
      </c>
      <c r="F242" s="32" t="n">
        <f aca="false">Tax_Rate*MAX(0,F240-E241)</f>
        <v>0</v>
      </c>
      <c r="G242" s="32" t="n">
        <f aca="false">Tax_Rate*MAX(0,G240-F241)</f>
        <v>0</v>
      </c>
      <c r="H242" s="32" t="n">
        <f aca="false">Tax_Rate*MAX(0,H240-G241)</f>
        <v>0</v>
      </c>
      <c r="I242" s="32" t="n">
        <f aca="false">Tax_Rate*MAX(0,I240-H241)</f>
        <v>0</v>
      </c>
      <c r="J242" s="32" t="n">
        <f aca="false">Tax_Rate*MAX(0,J240-I241)</f>
        <v>0</v>
      </c>
      <c r="K242" s="32" t="n">
        <f aca="false">Tax_Rate*MAX(0,K240-J241)</f>
        <v>0</v>
      </c>
      <c r="L242" s="32" t="n">
        <f aca="false">Tax_Rate*MAX(0,L240-K241)</f>
        <v>0</v>
      </c>
      <c r="M242" s="32" t="n">
        <f aca="false">Tax_Rate*MAX(0,M240-L241)</f>
        <v>0</v>
      </c>
      <c r="N242" s="32" t="n">
        <f aca="false">Tax_Rate*MAX(0,N240-M241)</f>
        <v>448747.675620772</v>
      </c>
      <c r="O242" s="32" t="n">
        <f aca="false">Tax_Rate*MAX(0,O240-N241)</f>
        <v>755384.159789638</v>
      </c>
      <c r="P242" s="32" t="n">
        <f aca="false">Tax_Rate*MAX(0,P240-O241)</f>
        <v>836410.114047905</v>
      </c>
      <c r="Q242" s="32" t="n">
        <f aca="false">Tax_Rate*MAX(0,Q240-P241)</f>
        <v>877978.83679225</v>
      </c>
      <c r="R242" s="32" t="n">
        <f aca="false">Tax_Rate*MAX(0,R240-Q241)</f>
        <v>921613.475766223</v>
      </c>
      <c r="S242" s="32" t="n">
        <f aca="false">Tax_Rate*MAX(0,S240-R241)</f>
        <v>967416.704228901</v>
      </c>
      <c r="T242" s="32" t="n">
        <f aca="false">Tax_Rate*MAX(0,T240-S241)</f>
        <v>1015496.2981459</v>
      </c>
      <c r="U242" s="32" t="n">
        <f aca="false">Tax_Rate*MAX(0,U240-T241)</f>
        <v>1065965.38978537</v>
      </c>
      <c r="V242" s="32" t="n">
        <f aca="false">Tax_Rate*MAX(0,V240-U241)</f>
        <v>1118942.73391733</v>
      </c>
      <c r="W242" s="32" t="n">
        <f aca="false">Tax_Rate*MAX(0,W240-V241)</f>
        <v>1174552.9872425</v>
      </c>
      <c r="X242" s="32" t="n">
        <f aca="false">Tax_Rate*MAX(0,X240-W241)</f>
        <v>1232927.00170832</v>
      </c>
      <c r="Y242" s="32" t="n">
        <f aca="false">Tax_Rate*MAX(0,Y240-X241)</f>
        <v>1294202.1324022</v>
      </c>
      <c r="Z242" s="32" t="n">
        <f aca="false">Tax_Rate*MAX(0,Z240-Y241)</f>
        <v>0</v>
      </c>
      <c r="AA242" s="32" t="n">
        <f aca="false">Tax_Rate*MAX(0,AA240-Z241)</f>
        <v>0</v>
      </c>
      <c r="AB242" s="32" t="n">
        <f aca="false">Tax_Rate*MAX(0,AB240-AA241)</f>
        <v>0</v>
      </c>
      <c r="AC242" s="32" t="n">
        <f aca="false">Tax_Rate*MAX(0,AC240-AB241)</f>
        <v>0</v>
      </c>
      <c r="AD242" s="32" t="n">
        <f aca="false">Tax_Rate*MAX(0,AD240-AC241)</f>
        <v>0</v>
      </c>
    </row>
    <row r="243" customFormat="false" ht="15" hidden="false" customHeight="false" outlineLevel="1" collapsed="false">
      <c r="B243" s="4" t="s">
        <v>176</v>
      </c>
      <c r="C243" s="24" t="s">
        <v>120</v>
      </c>
      <c r="F243" s="32" t="n">
        <f aca="false">F234-F242</f>
        <v>1907250</v>
      </c>
      <c r="G243" s="32" t="n">
        <f aca="false">G234-G242</f>
        <v>2002038.50625</v>
      </c>
      <c r="H243" s="32" t="n">
        <f aca="false">H234-H242</f>
        <v>2101537.89597328</v>
      </c>
      <c r="I243" s="32" t="n">
        <f aca="false">I234-I242</f>
        <v>2205982.29410055</v>
      </c>
      <c r="J243" s="32" t="n">
        <f aca="false">J234-J242</f>
        <v>2315617.4612372</v>
      </c>
      <c r="K243" s="32" t="n">
        <f aca="false">K234-K242</f>
        <v>2430701.37193785</v>
      </c>
      <c r="L243" s="32" t="n">
        <f aca="false">L234-L242</f>
        <v>2551504.82172011</v>
      </c>
      <c r="M243" s="32" t="n">
        <f aca="false">M234-M242</f>
        <v>2678312.06424593</v>
      </c>
      <c r="N243" s="32" t="n">
        <f aca="false">N234-N242</f>
        <v>2362673.80454887</v>
      </c>
      <c r="O243" s="32" t="n">
        <f aca="false">O234-O242</f>
        <v>2195762.11943697</v>
      </c>
      <c r="P243" s="32" t="n">
        <f aca="false">P234-P242</f>
        <v>2261405.12316656</v>
      </c>
      <c r="Q243" s="32" t="n">
        <f aca="false">Q234-Q242</f>
        <v>2373794.63280867</v>
      </c>
      <c r="R243" s="32" t="n">
        <f aca="false">R234-R242</f>
        <v>2491769.76781238</v>
      </c>
      <c r="S243" s="32" t="n">
        <f aca="false">S234-S242</f>
        <v>2615608.12624851</v>
      </c>
      <c r="T243" s="32" t="n">
        <f aca="false">T234-T242</f>
        <v>2745601.10239446</v>
      </c>
      <c r="U243" s="32" t="n">
        <f aca="false">U234-U242</f>
        <v>2882054.57238268</v>
      </c>
      <c r="V243" s="32" t="n">
        <f aca="false">V234-V242</f>
        <v>3025289.61392464</v>
      </c>
      <c r="W243" s="32" t="n">
        <f aca="false">W234-W242</f>
        <v>3175643.26180379</v>
      </c>
      <c r="X243" s="32" t="n">
        <f aca="false">X234-X242</f>
        <v>3333469.30091507</v>
      </c>
      <c r="Y243" s="32" t="n">
        <f aca="false">Y234-Y242</f>
        <v>3499139.09871707</v>
      </c>
      <c r="Z243" s="32" t="n">
        <f aca="false">Z234-Z242</f>
        <v>0</v>
      </c>
      <c r="AA243" s="32" t="n">
        <f aca="false">AA234-AA242</f>
        <v>0</v>
      </c>
      <c r="AB243" s="32" t="n">
        <f aca="false">AB234-AB242</f>
        <v>0</v>
      </c>
      <c r="AC243" s="32" t="n">
        <f aca="false">AC234-AC242</f>
        <v>0</v>
      </c>
      <c r="AD243" s="32" t="n">
        <f aca="false">AD234-AD242</f>
        <v>0</v>
      </c>
    </row>
    <row r="244" customFormat="false" ht="15" hidden="false" customHeight="false" outlineLevel="1" collapsed="false">
      <c r="B244" s="4" t="s">
        <v>278</v>
      </c>
      <c r="C244" s="24" t="s">
        <v>111</v>
      </c>
      <c r="F244" s="62" t="n">
        <f aca="false">IF(AND(Calculations!F$7=1,F236&gt;0),F243/F236,"")</f>
        <v>1.28211896775066</v>
      </c>
      <c r="G244" s="62" t="n">
        <f aca="false">IF(AND(Calculations!G$7=1,G236&gt;0),G243/G236,"")</f>
        <v>1.34583905782164</v>
      </c>
      <c r="H244" s="62" t="n">
        <f aca="false">IF(AND(Calculations!H$7=1,H236&gt;0),H243/H236,"")</f>
        <v>1.41272596559138</v>
      </c>
      <c r="I244" s="62" t="n">
        <f aca="false">IF(AND(Calculations!I$7=1,I236&gt;0),I243/I236,"")</f>
        <v>1.48293707788095</v>
      </c>
      <c r="J244" s="62" t="n">
        <f aca="false">IF(AND(Calculations!J$7=1,J236&gt;0),J243/J236,"")</f>
        <v>1.55663760341164</v>
      </c>
      <c r="K244" s="62" t="n">
        <f aca="false">IF(AND(Calculations!K$7=1,K236&gt;0),K243/K236,"")</f>
        <v>1.634000961541</v>
      </c>
      <c r="L244" s="62" t="n">
        <f aca="false">IF(AND(Calculations!L$7=1,L236&gt;0),L243/L236,"")</f>
        <v>1.71520919031832</v>
      </c>
      <c r="M244" s="62" t="n">
        <f aca="false">IF(AND(Calculations!M$7=1,M236&gt;0),M243/M236,"")</f>
        <v>1.80045337481984</v>
      </c>
      <c r="N244" s="62" t="n">
        <f aca="false">IF(AND(Calculations!N$7=1,N236&gt;0),N243/N236,"")</f>
        <v>1.58827049386275</v>
      </c>
      <c r="O244" s="62" t="n">
        <f aca="false">IF(AND(Calculations!O$7=1,O236&gt;0),O243/O236,"")</f>
        <v>1.47606672538919</v>
      </c>
      <c r="P244" s="62" t="str">
        <f aca="false">IF(AND(Calculations!P$7=1,P236&gt;0),P243/P236,"")</f>
        <v/>
      </c>
      <c r="Q244" s="62" t="str">
        <f aca="false">IF(AND(Calculations!Q$7=1,Q236&gt;0),Q243/Q236,"")</f>
        <v/>
      </c>
      <c r="R244" s="62" t="str">
        <f aca="false">IF(AND(Calculations!R$7=1,R236&gt;0),R243/R236,"")</f>
        <v/>
      </c>
      <c r="S244" s="62" t="str">
        <f aca="false">IF(AND(Calculations!S$7=1,S236&gt;0),S243/S236,"")</f>
        <v/>
      </c>
      <c r="T244" s="62" t="str">
        <f aca="false">IF(AND(Calculations!T$7=1,T236&gt;0),T243/T236,"")</f>
        <v/>
      </c>
      <c r="U244" s="62" t="str">
        <f aca="false">IF(AND(Calculations!U$7=1,U236&gt;0),U243/U236,"")</f>
        <v/>
      </c>
      <c r="V244" s="62" t="str">
        <f aca="false">IF(AND(Calculations!V$7=1,V236&gt;0),V243/V236,"")</f>
        <v/>
      </c>
      <c r="W244" s="62" t="str">
        <f aca="false">IF(AND(Calculations!W$7=1,W236&gt;0),W243/W236,"")</f>
        <v/>
      </c>
      <c r="X244" s="62" t="str">
        <f aca="false">IF(AND(Calculations!X$7=1,X236&gt;0),X243/X236,"")</f>
        <v/>
      </c>
      <c r="Y244" s="62" t="str">
        <f aca="false">IF(AND(Calculations!Y$7=1,Y236&gt;0),Y243/Y236,"")</f>
        <v/>
      </c>
      <c r="Z244" s="62" t="str">
        <f aca="false">IF(AND(Calculations!Z$7=1,Z236&gt;0),Z243/Z236,"")</f>
        <v/>
      </c>
      <c r="AA244" s="62" t="str">
        <f aca="false">IF(AND(Calculations!AA$7=1,AA236&gt;0),AA243/AA236,"")</f>
        <v/>
      </c>
      <c r="AB244" s="62" t="str">
        <f aca="false">IF(AND(Calculations!AB$7=1,AB236&gt;0),AB243/AB236,"")</f>
        <v/>
      </c>
      <c r="AC244" s="62" t="str">
        <f aca="false">IF(AND(Calculations!AC$7=1,AC236&gt;0),AC243/AC236,"")</f>
        <v/>
      </c>
      <c r="AD244" s="62" t="str">
        <f aca="false">IF(AND(Calculations!AD$7=1,AD236&gt;0),AD243/AD236,"")</f>
        <v/>
      </c>
    </row>
    <row r="245" customFormat="false" ht="15" hidden="false" customHeight="false" outlineLevel="1" collapsed="false">
      <c r="B245" s="4" t="s">
        <v>182</v>
      </c>
      <c r="C245" s="24" t="s">
        <v>120</v>
      </c>
      <c r="E245" s="32" t="n">
        <f aca="false">-($D$229-$D$230)</f>
        <v>-4620000</v>
      </c>
      <c r="F245" s="32" t="n">
        <f aca="false">F243-F236</f>
        <v>419673.53636959</v>
      </c>
      <c r="G245" s="32" t="n">
        <f aca="false">G243-G236</f>
        <v>514462.04261959</v>
      </c>
      <c r="H245" s="32" t="n">
        <f aca="false">H243-H236</f>
        <v>613961.432342871</v>
      </c>
      <c r="I245" s="32" t="n">
        <f aca="false">I243-I236</f>
        <v>718405.830470142</v>
      </c>
      <c r="J245" s="32" t="n">
        <f aca="false">J243-J236</f>
        <v>828040.997606792</v>
      </c>
      <c r="K245" s="32" t="n">
        <f aca="false">K243-K236</f>
        <v>943124.908307437</v>
      </c>
      <c r="L245" s="32" t="n">
        <f aca="false">L243-L236</f>
        <v>1063928.3580897</v>
      </c>
      <c r="M245" s="32" t="n">
        <f aca="false">M243-M236</f>
        <v>1190735.60061552</v>
      </c>
      <c r="N245" s="32" t="n">
        <f aca="false">N243-N236</f>
        <v>875097.340918458</v>
      </c>
      <c r="O245" s="32" t="n">
        <f aca="false">O243-O236</f>
        <v>708185.65580656</v>
      </c>
      <c r="P245" s="32" t="n">
        <f aca="false">P243-P236</f>
        <v>2261405.12316656</v>
      </c>
      <c r="Q245" s="32" t="n">
        <f aca="false">Q243-Q236</f>
        <v>2373794.63280867</v>
      </c>
      <c r="R245" s="32" t="n">
        <f aca="false">R243-R236</f>
        <v>2491769.76781238</v>
      </c>
      <c r="S245" s="32" t="n">
        <f aca="false">S243-S236</f>
        <v>2615608.12624851</v>
      </c>
      <c r="T245" s="32" t="n">
        <f aca="false">T243-T236</f>
        <v>2745601.10239446</v>
      </c>
      <c r="U245" s="32" t="n">
        <f aca="false">U243-U236</f>
        <v>2882054.57238268</v>
      </c>
      <c r="V245" s="32" t="n">
        <f aca="false">V243-V236</f>
        <v>3025289.61392464</v>
      </c>
      <c r="W245" s="32" t="n">
        <f aca="false">W243-W236</f>
        <v>3175643.26180379</v>
      </c>
      <c r="X245" s="32" t="n">
        <f aca="false">X243-X236</f>
        <v>3333469.30091507</v>
      </c>
      <c r="Y245" s="32" t="n">
        <f aca="false">Y243-Y236</f>
        <v>3499139.09871707</v>
      </c>
      <c r="Z245" s="32" t="n">
        <f aca="false">Z243-Z236</f>
        <v>0</v>
      </c>
      <c r="AA245" s="32" t="n">
        <f aca="false">AA243-AA236</f>
        <v>0</v>
      </c>
      <c r="AB245" s="32" t="n">
        <f aca="false">AB243-AB236</f>
        <v>0</v>
      </c>
      <c r="AC245" s="32" t="n">
        <f aca="false">AC243-AC236</f>
        <v>0</v>
      </c>
      <c r="AD245" s="32" t="n">
        <f aca="false">AD243-AD236</f>
        <v>0</v>
      </c>
    </row>
    <row r="246" customFormat="false" ht="15" hidden="false" customHeight="false" outlineLevel="1" collapsed="false">
      <c r="B246" s="3" t="s">
        <v>208</v>
      </c>
      <c r="C246" s="24" t="s">
        <v>97</v>
      </c>
      <c r="D246" s="76" t="n">
        <f aca="false">IRR(E245:AD245)</f>
        <v>0.20267680008182</v>
      </c>
    </row>
    <row r="247" customFormat="false" ht="15" hidden="false" customHeight="false" outlineLevel="1" collapsed="false">
      <c r="B247" s="3" t="s">
        <v>210</v>
      </c>
      <c r="C247" s="24" t="s">
        <v>111</v>
      </c>
      <c r="D247" s="49" t="n">
        <f aca="false">MIN(F244:AD244)</f>
        <v>1.28211896775066</v>
      </c>
    </row>
    <row r="248" customFormat="false" ht="15" hidden="false" customHeight="false" outlineLevel="1" collapsed="false">
      <c r="B248" s="3" t="s">
        <v>262</v>
      </c>
      <c r="C248" s="24" t="s">
        <v>120</v>
      </c>
      <c r="D248" s="44" t="n">
        <f aca="false">E245+NPV(Equity_Discount_Rate,F245:AD245)</f>
        <v>1762211.71377486</v>
      </c>
    </row>
  </sheetData>
  <printOptions headings="false" gridLines="false" gridLinesSet="true" horizontalCentered="true" verticalCentered="false"/>
  <pageMargins left="0.4" right="0.4" top="0.5" bottom="0.5" header="0.511811023622047" footer="0.5"/>
  <pageSetup paperSize="9" scale="100" fitToWidth="2" fitToHeight="0" pageOrder="downThenOver" orientation="landscape" blackAndWhite="false" draft="false" cellComments="none" horizontalDpi="300" verticalDpi="300" copies="1"/>
  <headerFooter differentFirst="false" differentOddEven="false">
    <oddHeader/>
    <oddFooter>&amp;L&amp;8 Illustrative reference case – not investment, tax or legal advice&amp;R&amp;8 &amp;A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2026-10-14T05:45:17Z</dcterms:created>
  <dc:creator>[Your name], Certified Energy Manager</dc:creator>
  <dc:description/>
  <dc:language>en-US</dc:language>
  <cp:lastModifiedBy/>
  <dcterms:modified xsi:type="dcterms:W3CDTF">2026-10-14T05:45:20Z</dcterms:modified>
  <cp:revision>1</cp:revision>
  <dc:subject/>
  <dc:title>Rooftop Solar PPA – Project Finance Model (illustrative reference case)</dc:title>
</cp:coreProperties>
</file>

<file path=docProps/custom.xml><?xml version="1.0" encoding="utf-8"?>
<Properties xmlns="http://schemas.openxmlformats.org/officeDocument/2006/custom-properties" xmlns:vt="http://schemas.openxmlformats.org/officeDocument/2006/docPropsVTypes"/>
</file>